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2116" windowHeight="9264" activeTab="1"/>
  </bookViews>
  <sheets>
    <sheet name="NACIONAL DIC" sheetId="1" r:id="rId1"/>
    <sheet name="INTERNACIONAL DIC" sheetId="2" r:id="rId2"/>
    <sheet name="Hoja3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AB36" i="2" l="1"/>
  <c r="AB35" i="2"/>
  <c r="AA27" i="2"/>
  <c r="AA28" i="2" s="1"/>
  <c r="Z27" i="2"/>
  <c r="Z28" i="2" s="1"/>
  <c r="Y27" i="2"/>
  <c r="Y28" i="2" s="1"/>
  <c r="X27" i="2"/>
  <c r="X28" i="2" s="1"/>
  <c r="W27" i="2"/>
  <c r="W28" i="2" s="1"/>
  <c r="V27" i="2"/>
  <c r="V28" i="2" s="1"/>
  <c r="U27" i="2"/>
  <c r="U28" i="2" s="1"/>
  <c r="T27" i="2"/>
  <c r="T28" i="2" s="1"/>
  <c r="S27" i="2"/>
  <c r="S28" i="2" s="1"/>
  <c r="R27" i="2"/>
  <c r="R28" i="2" s="1"/>
  <c r="Q27" i="2"/>
  <c r="Q28" i="2" s="1"/>
  <c r="P27" i="2"/>
  <c r="P28" i="2" s="1"/>
  <c r="O27" i="2"/>
  <c r="O28" i="2" s="1"/>
  <c r="N27" i="2"/>
  <c r="N28" i="2" s="1"/>
  <c r="M27" i="2"/>
  <c r="M28" i="2" s="1"/>
  <c r="L27" i="2"/>
  <c r="L28" i="2" s="1"/>
  <c r="K27" i="2"/>
  <c r="K28" i="2" s="1"/>
  <c r="J27" i="2"/>
  <c r="J28" i="2" s="1"/>
  <c r="I27" i="2"/>
  <c r="I28" i="2" s="1"/>
  <c r="H27" i="2"/>
  <c r="H28" i="2" s="1"/>
  <c r="G27" i="2"/>
  <c r="G28" i="2" s="1"/>
  <c r="F27" i="2"/>
  <c r="F28" i="2" s="1"/>
  <c r="E27" i="2"/>
  <c r="AB27" i="2" s="1"/>
  <c r="Y26" i="2"/>
  <c r="Y32" i="2" s="1"/>
  <c r="X26" i="2"/>
  <c r="X32" i="2" s="1"/>
  <c r="T26" i="2"/>
  <c r="T32" i="2" s="1"/>
  <c r="S26" i="2"/>
  <c r="S32" i="2" s="1"/>
  <c r="R26" i="2"/>
  <c r="R32" i="2" s="1"/>
  <c r="Q26" i="2"/>
  <c r="Q32" i="2" s="1"/>
  <c r="O26" i="2"/>
  <c r="O32" i="2" s="1"/>
  <c r="M26" i="2"/>
  <c r="M32" i="2" s="1"/>
  <c r="L26" i="2"/>
  <c r="L32" i="2" s="1"/>
  <c r="I26" i="2"/>
  <c r="I32" i="2" s="1"/>
  <c r="E26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AB25" i="2" s="1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AB24" i="2" s="1"/>
  <c r="AA23" i="2"/>
  <c r="AA26" i="2" s="1"/>
  <c r="AA32" i="2" s="1"/>
  <c r="Z23" i="2"/>
  <c r="Z26" i="2" s="1"/>
  <c r="Z32" i="2" s="1"/>
  <c r="W23" i="2"/>
  <c r="W26" i="2" s="1"/>
  <c r="W32" i="2" s="1"/>
  <c r="V23" i="2"/>
  <c r="U23" i="2"/>
  <c r="P23" i="2"/>
  <c r="P26" i="2" s="1"/>
  <c r="P32" i="2" s="1"/>
  <c r="N23" i="2"/>
  <c r="J23" i="2"/>
  <c r="H23" i="2"/>
  <c r="H26" i="2" s="1"/>
  <c r="H32" i="2" s="1"/>
  <c r="G23" i="2"/>
  <c r="F23" i="2"/>
  <c r="AB23" i="2" s="1"/>
  <c r="AB22" i="2"/>
  <c r="U21" i="2"/>
  <c r="U26" i="2" s="1"/>
  <c r="U32" i="2" s="1"/>
  <c r="G21" i="2"/>
  <c r="AB21" i="2" s="1"/>
  <c r="AB20" i="2"/>
  <c r="V19" i="2"/>
  <c r="V26" i="2" s="1"/>
  <c r="V32" i="2" s="1"/>
  <c r="N19" i="2"/>
  <c r="N26" i="2" s="1"/>
  <c r="N32" i="2" s="1"/>
  <c r="K19" i="2"/>
  <c r="K26" i="2" s="1"/>
  <c r="K32" i="2" s="1"/>
  <c r="J19" i="2"/>
  <c r="J26" i="2" s="1"/>
  <c r="J32" i="2" s="1"/>
  <c r="G19" i="2"/>
  <c r="G26" i="2" s="1"/>
  <c r="G32" i="2" s="1"/>
  <c r="F19" i="2"/>
  <c r="F26" i="2" s="1"/>
  <c r="F32" i="2" s="1"/>
  <c r="AB18" i="2"/>
  <c r="AB17" i="2"/>
  <c r="AB16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B15" i="2" s="1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AB14" i="2" s="1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AB13" i="2" s="1"/>
  <c r="AA12" i="2"/>
  <c r="Z12" i="2"/>
  <c r="Y12" i="2"/>
  <c r="X12" i="2"/>
  <c r="W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AB12" i="2" s="1"/>
  <c r="AB11" i="2"/>
  <c r="AB10" i="2"/>
  <c r="AB9" i="2"/>
  <c r="AB8" i="2"/>
  <c r="AB7" i="2"/>
  <c r="AB6" i="2"/>
  <c r="AB5" i="2"/>
  <c r="J27" i="1"/>
  <c r="J28" i="1" s="1"/>
  <c r="I27" i="1"/>
  <c r="I28" i="1" s="1"/>
  <c r="H27" i="1"/>
  <c r="H28" i="1" s="1"/>
  <c r="G27" i="1"/>
  <c r="G28" i="1" s="1"/>
  <c r="F27" i="1"/>
  <c r="F28" i="1" s="1"/>
  <c r="E27" i="1"/>
  <c r="E28" i="1" s="1"/>
  <c r="H26" i="1"/>
  <c r="H32" i="1" s="1"/>
  <c r="G26" i="1"/>
  <c r="G32" i="1" s="1"/>
  <c r="J25" i="1"/>
  <c r="I25" i="1"/>
  <c r="H25" i="1"/>
  <c r="G25" i="1"/>
  <c r="F25" i="1"/>
  <c r="E25" i="1"/>
  <c r="K25" i="1" s="1"/>
  <c r="J24" i="1"/>
  <c r="I24" i="1"/>
  <c r="H24" i="1"/>
  <c r="G24" i="1"/>
  <c r="F24" i="1"/>
  <c r="E24" i="1"/>
  <c r="K24" i="1" s="1"/>
  <c r="J23" i="1"/>
  <c r="I23" i="1"/>
  <c r="F23" i="1"/>
  <c r="E23" i="1"/>
  <c r="K23" i="1" s="1"/>
  <c r="K22" i="1"/>
  <c r="J21" i="1"/>
  <c r="I21" i="1"/>
  <c r="F21" i="1"/>
  <c r="E21" i="1"/>
  <c r="K21" i="1" s="1"/>
  <c r="K20" i="1"/>
  <c r="J19" i="1"/>
  <c r="J26" i="1" s="1"/>
  <c r="J32" i="1" s="1"/>
  <c r="I19" i="1"/>
  <c r="I26" i="1" s="1"/>
  <c r="I32" i="1" s="1"/>
  <c r="F19" i="1"/>
  <c r="F26" i="1" s="1"/>
  <c r="F32" i="1" s="1"/>
  <c r="E19" i="1"/>
  <c r="E26" i="1" s="1"/>
  <c r="K18" i="1"/>
  <c r="K17" i="1"/>
  <c r="K16" i="1"/>
  <c r="J15" i="1"/>
  <c r="I15" i="1"/>
  <c r="H15" i="1"/>
  <c r="G15" i="1"/>
  <c r="F15" i="1"/>
  <c r="E15" i="1"/>
  <c r="K15" i="1" s="1"/>
  <c r="J14" i="1"/>
  <c r="I14" i="1"/>
  <c r="H14" i="1"/>
  <c r="G14" i="1"/>
  <c r="F14" i="1"/>
  <c r="E14" i="1"/>
  <c r="K14" i="1" s="1"/>
  <c r="J13" i="1"/>
  <c r="I13" i="1"/>
  <c r="H13" i="1"/>
  <c r="G13" i="1"/>
  <c r="F13" i="1"/>
  <c r="E13" i="1"/>
  <c r="K13" i="1" s="1"/>
  <c r="J12" i="1"/>
  <c r="I12" i="1"/>
  <c r="H12" i="1"/>
  <c r="G12" i="1"/>
  <c r="F12" i="1"/>
  <c r="E12" i="1"/>
  <c r="K12" i="1" s="1"/>
  <c r="K11" i="1"/>
  <c r="K10" i="1"/>
  <c r="K9" i="1"/>
  <c r="K8" i="1"/>
  <c r="K7" i="1"/>
  <c r="K6" i="1"/>
  <c r="K5" i="1"/>
  <c r="AB26" i="2" l="1"/>
  <c r="AB32" i="2" s="1"/>
  <c r="F29" i="2"/>
  <c r="F31" i="2" s="1"/>
  <c r="H29" i="2"/>
  <c r="H31" i="2" s="1"/>
  <c r="J29" i="2"/>
  <c r="J31" i="2" s="1"/>
  <c r="L29" i="2"/>
  <c r="L31" i="2" s="1"/>
  <c r="N29" i="2"/>
  <c r="N31" i="2" s="1"/>
  <c r="P29" i="2"/>
  <c r="P31" i="2" s="1"/>
  <c r="R29" i="2"/>
  <c r="R31" i="2" s="1"/>
  <c r="T29" i="2"/>
  <c r="T31" i="2" s="1"/>
  <c r="V29" i="2"/>
  <c r="V31" i="2" s="1"/>
  <c r="X29" i="2"/>
  <c r="X31" i="2" s="1"/>
  <c r="Z29" i="2"/>
  <c r="Z31" i="2" s="1"/>
  <c r="G29" i="2"/>
  <c r="G31" i="2" s="1"/>
  <c r="I29" i="2"/>
  <c r="I31" i="2" s="1"/>
  <c r="K29" i="2"/>
  <c r="K31" i="2" s="1"/>
  <c r="M29" i="2"/>
  <c r="M31" i="2" s="1"/>
  <c r="O29" i="2"/>
  <c r="O31" i="2" s="1"/>
  <c r="Q29" i="2"/>
  <c r="Q31" i="2" s="1"/>
  <c r="S29" i="2"/>
  <c r="S31" i="2" s="1"/>
  <c r="U29" i="2"/>
  <c r="U31" i="2" s="1"/>
  <c r="W29" i="2"/>
  <c r="W31" i="2" s="1"/>
  <c r="Y29" i="2"/>
  <c r="Y31" i="2" s="1"/>
  <c r="AA29" i="2"/>
  <c r="AA31" i="2" s="1"/>
  <c r="AB19" i="2"/>
  <c r="E28" i="2"/>
  <c r="E32" i="2"/>
  <c r="E32" i="1"/>
  <c r="K26" i="1"/>
  <c r="K32" i="1" s="1"/>
  <c r="K28" i="1"/>
  <c r="E29" i="1"/>
  <c r="G29" i="1"/>
  <c r="G31" i="1" s="1"/>
  <c r="I29" i="1"/>
  <c r="I31" i="1" s="1"/>
  <c r="F29" i="1"/>
  <c r="F31" i="1" s="1"/>
  <c r="F30" i="1"/>
  <c r="H29" i="1"/>
  <c r="H31" i="1" s="1"/>
  <c r="H30" i="1"/>
  <c r="J29" i="1"/>
  <c r="J31" i="1" s="1"/>
  <c r="J30" i="1"/>
  <c r="K19" i="1"/>
  <c r="K27" i="1"/>
  <c r="AB28" i="2" l="1"/>
  <c r="E29" i="2"/>
  <c r="AA30" i="2"/>
  <c r="Y30" i="2"/>
  <c r="W30" i="2"/>
  <c r="U30" i="2"/>
  <c r="S30" i="2"/>
  <c r="Q30" i="2"/>
  <c r="O30" i="2"/>
  <c r="M30" i="2"/>
  <c r="K30" i="2"/>
  <c r="I30" i="2"/>
  <c r="G30" i="2"/>
  <c r="Z30" i="2"/>
  <c r="X30" i="2"/>
  <c r="V30" i="2"/>
  <c r="T30" i="2"/>
  <c r="R30" i="2"/>
  <c r="P30" i="2"/>
  <c r="N30" i="2"/>
  <c r="L30" i="2"/>
  <c r="J30" i="2"/>
  <c r="H30" i="2"/>
  <c r="F30" i="2"/>
  <c r="I30" i="1"/>
  <c r="G30" i="1"/>
  <c r="E31" i="1"/>
  <c r="K29" i="1"/>
  <c r="K31" i="1" s="1"/>
  <c r="E30" i="1"/>
  <c r="AB29" i="2" l="1"/>
  <c r="AB31" i="2" s="1"/>
  <c r="E31" i="2"/>
  <c r="E30" i="2"/>
  <c r="K30" i="1"/>
  <c r="AB30" i="2" l="1"/>
</calcChain>
</file>

<file path=xl/sharedStrings.xml><?xml version="1.0" encoding="utf-8"?>
<sst xmlns="http://schemas.openxmlformats.org/spreadsheetml/2006/main" count="119" uniqueCount="64">
  <si>
    <t>ANALISIS DE CUMPLIMIENTO</t>
  </si>
  <si>
    <t>EMPRESAS NACIONALES</t>
  </si>
  <si>
    <t>MES : DICIEMBRE 2011</t>
  </si>
  <si>
    <t>No.</t>
  </si>
  <si>
    <t>CONCEPTO</t>
  </si>
  <si>
    <t>ADA</t>
  </si>
  <si>
    <t>RPB</t>
  </si>
  <si>
    <t>ARE</t>
  </si>
  <si>
    <t>AVA</t>
  </si>
  <si>
    <t>EFY</t>
  </si>
  <si>
    <t>NSE</t>
  </si>
  <si>
    <t>TOTAL</t>
  </si>
  <si>
    <t>VUELOS PROGRAMADOS</t>
  </si>
  <si>
    <t>VUELOS ADICIONALES</t>
  </si>
  <si>
    <t>VUELOS CHARTERS</t>
  </si>
  <si>
    <t>CANCELADOS</t>
  </si>
  <si>
    <t xml:space="preserve"> POR FALTA DE TRAFICO</t>
  </si>
  <si>
    <t>POR INCONTROLABLES</t>
  </si>
  <si>
    <t>POR DAÑOS TECNICOS</t>
  </si>
  <si>
    <t>POR OPERACIONALES</t>
  </si>
  <si>
    <t>NO ESPECIFICOS</t>
  </si>
  <si>
    <t>TOTAL INCONTROLABLES Y TRAFICO</t>
  </si>
  <si>
    <t>TOTAL DAÑOS TECNICOS Y OPERACIONALES</t>
  </si>
  <si>
    <t>VUELOS CANCELADOS</t>
  </si>
  <si>
    <t>DEMORADOS</t>
  </si>
  <si>
    <t>POR FALTA DE TRAFICO</t>
  </si>
  <si>
    <t>No. VUELOS</t>
  </si>
  <si>
    <t>MINUTOS</t>
  </si>
  <si>
    <t xml:space="preserve"> POR INCONTROLABLES</t>
  </si>
  <si>
    <t>VUELOS DEMORADOS</t>
  </si>
  <si>
    <t>NUMERO</t>
  </si>
  <si>
    <t>TOTAL VUELOS</t>
  </si>
  <si>
    <t>VUELOS VENDIDOS</t>
  </si>
  <si>
    <t>VUELOS CUMPLIDOS</t>
  </si>
  <si>
    <t>CUMPLIMIENTO DE ITINERARIOS REGISTRADOS EN LA UAEAC</t>
  </si>
  <si>
    <t>CUMPLIMIENTO DEL SERVICIO</t>
  </si>
  <si>
    <t>TIEMPO PROMEDIO POR DEMORA</t>
  </si>
  <si>
    <t>Fuente: Torre de Control/Itinerarios/Aerolineas</t>
  </si>
  <si>
    <t>VUELOS CANCELADOS - CRUCE DE DATOS</t>
  </si>
  <si>
    <t>VUELOS DEMORADOS - CRUCE DE DATOS</t>
  </si>
  <si>
    <t>EMPRESAS INTERNACIONALES</t>
  </si>
  <si>
    <t>A. GALAPAGOS</t>
  </si>
  <si>
    <t>A. ARGENTINAS</t>
  </si>
  <si>
    <t>AEROREPUBLICA</t>
  </si>
  <si>
    <t>AEROMEXICO</t>
  </si>
  <si>
    <t>AI R E S</t>
  </si>
  <si>
    <t>AIR  CANADA</t>
  </si>
  <si>
    <t>AIR FRANCE</t>
  </si>
  <si>
    <t>AMERICAN</t>
  </si>
  <si>
    <t>AVIANCA</t>
  </si>
  <si>
    <t>CONTINENTAL</t>
  </si>
  <si>
    <t>CONVIASA</t>
  </si>
  <si>
    <t>COPA</t>
  </si>
  <si>
    <t>CUBANA</t>
  </si>
  <si>
    <t>DELTA</t>
  </si>
  <si>
    <t>IBERIA</t>
  </si>
  <si>
    <t>JETBLUE</t>
  </si>
  <si>
    <t>LACSA</t>
  </si>
  <si>
    <t>LAN CHILE</t>
  </si>
  <si>
    <t>LAN  PERU</t>
  </si>
  <si>
    <t>LUFTHANSA</t>
  </si>
  <si>
    <t>SPIRIT</t>
  </si>
  <si>
    <t>TACA  PERU</t>
  </si>
  <si>
    <t>TAME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</si>
</sst>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textRotation="90"/>
    </xf>
    <xf numFmtId="0" fontId="5" fillId="2" borderId="6" xfId="0" applyFont="1" applyFill="1" applyBorder="1" applyAlignment="1" applyProtection="1">
      <alignment horizontal="center" textRotation="90"/>
    </xf>
    <xf numFmtId="0" fontId="5" fillId="0" borderId="7" xfId="0" applyFont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left"/>
    </xf>
    <xf numFmtId="0" fontId="5" fillId="3" borderId="3" xfId="0" applyFont="1" applyFill="1" applyBorder="1" applyAlignment="1" applyProtection="1">
      <alignment horizontal="left"/>
    </xf>
    <xf numFmtId="0" fontId="5" fillId="3" borderId="4" xfId="0" applyFont="1" applyFill="1" applyBorder="1" applyAlignment="1" applyProtection="1">
      <alignment horizontal="left"/>
    </xf>
    <xf numFmtId="3" fontId="3" fillId="3" borderId="2" xfId="0" applyNumberFormat="1" applyFont="1" applyFill="1" applyBorder="1" applyAlignment="1" applyProtection="1">
      <alignment horizontal="right"/>
    </xf>
    <xf numFmtId="3" fontId="3" fillId="3" borderId="3" xfId="0" applyNumberFormat="1" applyFont="1" applyFill="1" applyBorder="1" applyAlignment="1" applyProtection="1">
      <alignment horizontal="right"/>
    </xf>
    <xf numFmtId="3" fontId="3" fillId="3" borderId="4" xfId="0" applyNumberFormat="1" applyFont="1" applyFill="1" applyBorder="1" applyAlignment="1" applyProtection="1">
      <alignment horizontal="right"/>
    </xf>
    <xf numFmtId="3" fontId="2" fillId="3" borderId="5" xfId="0" applyNumberFormat="1" applyFont="1" applyFill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3" fontId="3" fillId="0" borderId="9" xfId="0" applyNumberFormat="1" applyFont="1" applyBorder="1" applyAlignment="1" applyProtection="1">
      <alignment horizontal="right"/>
    </xf>
    <xf numFmtId="3" fontId="3" fillId="0" borderId="10" xfId="0" applyNumberFormat="1" applyFont="1" applyBorder="1" applyAlignment="1" applyProtection="1">
      <alignment horizontal="right"/>
    </xf>
    <xf numFmtId="3" fontId="3" fillId="0" borderId="12" xfId="0" applyNumberFormat="1" applyFont="1" applyBorder="1" applyAlignment="1" applyProtection="1">
      <alignment horizontal="right"/>
    </xf>
    <xf numFmtId="3" fontId="2" fillId="3" borderId="13" xfId="0" applyNumberFormat="1" applyFont="1" applyFill="1" applyBorder="1" applyAlignment="1" applyProtection="1">
      <alignment horizontal="right"/>
    </xf>
    <xf numFmtId="0" fontId="5" fillId="0" borderId="14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left"/>
    </xf>
    <xf numFmtId="3" fontId="3" fillId="0" borderId="18" xfId="0" applyNumberFormat="1" applyFont="1" applyBorder="1" applyAlignment="1" applyProtection="1">
      <alignment horizontal="right"/>
    </xf>
    <xf numFmtId="3" fontId="3" fillId="0" borderId="19" xfId="0" applyNumberFormat="1" applyFont="1" applyBorder="1" applyAlignment="1" applyProtection="1">
      <alignment horizontal="right"/>
    </xf>
    <xf numFmtId="3" fontId="3" fillId="0" borderId="20" xfId="0" applyNumberFormat="1" applyFont="1" applyBorder="1" applyAlignment="1" applyProtection="1">
      <alignment horizontal="right"/>
    </xf>
    <xf numFmtId="3" fontId="2" fillId="3" borderId="21" xfId="0" applyNumberFormat="1" applyFont="1" applyFill="1" applyBorder="1" applyAlignment="1" applyProtection="1">
      <alignment horizontal="right"/>
    </xf>
    <xf numFmtId="0" fontId="5" fillId="0" borderId="22" xfId="0" applyFont="1" applyBorder="1" applyAlignment="1" applyProtection="1">
      <alignment horizontal="center"/>
    </xf>
    <xf numFmtId="0" fontId="6" fillId="2" borderId="22" xfId="0" applyFont="1" applyFill="1" applyBorder="1" applyAlignment="1" applyProtection="1">
      <alignment horizontal="center" vertical="center" textRotation="255"/>
    </xf>
    <xf numFmtId="0" fontId="5" fillId="0" borderId="23" xfId="0" applyFont="1" applyBorder="1" applyAlignment="1" applyProtection="1">
      <alignment horizontal="left"/>
    </xf>
    <xf numFmtId="0" fontId="5" fillId="0" borderId="24" xfId="0" applyFont="1" applyBorder="1" applyAlignment="1" applyProtection="1">
      <alignment horizontal="left"/>
    </xf>
    <xf numFmtId="3" fontId="3" fillId="0" borderId="23" xfId="0" applyNumberFormat="1" applyFont="1" applyBorder="1" applyAlignment="1" applyProtection="1">
      <alignment horizontal="right"/>
    </xf>
    <xf numFmtId="3" fontId="3" fillId="0" borderId="25" xfId="0" applyNumberFormat="1" applyFont="1" applyBorder="1" applyAlignment="1" applyProtection="1">
      <alignment horizontal="right"/>
    </xf>
    <xf numFmtId="3" fontId="3" fillId="0" borderId="26" xfId="0" applyNumberFormat="1" applyFont="1" applyBorder="1" applyAlignment="1" applyProtection="1">
      <alignment horizontal="right"/>
    </xf>
    <xf numFmtId="3" fontId="2" fillId="3" borderId="27" xfId="0" applyNumberFormat="1" applyFont="1" applyFill="1" applyBorder="1" applyAlignment="1" applyProtection="1">
      <alignment horizontal="right"/>
    </xf>
    <xf numFmtId="0" fontId="6" fillId="2" borderId="8" xfId="0" applyFont="1" applyFill="1" applyBorder="1" applyAlignment="1" applyProtection="1">
      <alignment horizontal="center" vertical="center" textRotation="255"/>
    </xf>
    <xf numFmtId="0" fontId="5" fillId="0" borderId="28" xfId="0" applyFont="1" applyBorder="1" applyAlignment="1" applyProtection="1">
      <alignment horizontal="left"/>
    </xf>
    <xf numFmtId="0" fontId="5" fillId="0" borderId="29" xfId="0" applyFont="1" applyBorder="1" applyAlignment="1" applyProtection="1">
      <alignment horizontal="left"/>
    </xf>
    <xf numFmtId="3" fontId="3" fillId="0" borderId="28" xfId="0" applyNumberFormat="1" applyFont="1" applyBorder="1" applyAlignment="1" applyProtection="1">
      <alignment horizontal="right"/>
    </xf>
    <xf numFmtId="3" fontId="3" fillId="0" borderId="30" xfId="0" applyNumberFormat="1" applyFont="1" applyBorder="1" applyAlignment="1" applyProtection="1">
      <alignment horizontal="right"/>
    </xf>
    <xf numFmtId="3" fontId="3" fillId="0" borderId="31" xfId="0" applyNumberFormat="1" applyFont="1" applyBorder="1" applyAlignment="1" applyProtection="1">
      <alignment horizontal="right"/>
    </xf>
    <xf numFmtId="3" fontId="2" fillId="3" borderId="32" xfId="0" applyNumberFormat="1" applyFont="1" applyFill="1" applyBorder="1" applyAlignment="1" applyProtection="1">
      <alignment horizontal="right"/>
    </xf>
    <xf numFmtId="0" fontId="5" fillId="0" borderId="18" xfId="0" applyFont="1" applyBorder="1" applyAlignment="1" applyProtection="1">
      <alignment horizontal="left"/>
    </xf>
    <xf numFmtId="0" fontId="5" fillId="0" borderId="33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3" fontId="3" fillId="0" borderId="2" xfId="0" applyNumberFormat="1" applyFont="1" applyBorder="1" applyAlignment="1" applyProtection="1">
      <alignment horizontal="right"/>
    </xf>
    <xf numFmtId="3" fontId="3" fillId="0" borderId="34" xfId="0" applyNumberFormat="1" applyFont="1" applyBorder="1" applyAlignment="1" applyProtection="1">
      <alignment horizontal="right"/>
    </xf>
    <xf numFmtId="3" fontId="3" fillId="0" borderId="3" xfId="0" applyNumberFormat="1" applyFont="1" applyBorder="1" applyAlignment="1" applyProtection="1">
      <alignment horizontal="right"/>
    </xf>
    <xf numFmtId="0" fontId="5" fillId="0" borderId="35" xfId="0" applyFont="1" applyBorder="1" applyAlignment="1" applyProtection="1">
      <alignment horizontal="left"/>
    </xf>
    <xf numFmtId="0" fontId="5" fillId="0" borderId="36" xfId="0" applyFont="1" applyBorder="1" applyAlignment="1" applyProtection="1">
      <alignment horizontal="left"/>
    </xf>
    <xf numFmtId="3" fontId="3" fillId="0" borderId="15" xfId="0" applyNumberFormat="1" applyFont="1" applyBorder="1" applyAlignment="1" applyProtection="1">
      <alignment horizontal="right"/>
    </xf>
    <xf numFmtId="3" fontId="3" fillId="0" borderId="16" xfId="0" applyNumberFormat="1" applyFont="1" applyBorder="1" applyAlignment="1" applyProtection="1">
      <alignment horizontal="right"/>
    </xf>
    <xf numFmtId="3" fontId="2" fillId="3" borderId="37" xfId="0" applyNumberFormat="1" applyFont="1" applyFill="1" applyBorder="1" applyAlignment="1" applyProtection="1">
      <alignment horizontal="right"/>
    </xf>
    <xf numFmtId="0" fontId="5" fillId="0" borderId="38" xfId="0" applyFont="1" applyBorder="1" applyAlignment="1" applyProtection="1">
      <alignment horizontal="center"/>
    </xf>
    <xf numFmtId="0" fontId="6" fillId="2" borderId="38" xfId="0" applyFont="1" applyFill="1" applyBorder="1" applyAlignment="1" applyProtection="1">
      <alignment horizontal="center" vertical="center" textRotation="255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3" fontId="3" fillId="3" borderId="39" xfId="0" applyNumberFormat="1" applyFont="1" applyFill="1" applyBorder="1" applyAlignment="1">
      <alignment horizontal="right" vertical="center" wrapText="1"/>
    </xf>
    <xf numFmtId="3" fontId="3" fillId="3" borderId="40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 textRotation="255"/>
    </xf>
    <xf numFmtId="0" fontId="5" fillId="0" borderId="27" xfId="0" applyFont="1" applyBorder="1" applyAlignment="1" applyProtection="1">
      <alignment horizontal="left" vertical="center"/>
    </xf>
    <xf numFmtId="0" fontId="5" fillId="0" borderId="27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/>
    </xf>
    <xf numFmtId="0" fontId="5" fillId="0" borderId="21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4" borderId="27" xfId="0" applyFont="1" applyFill="1" applyBorder="1" applyAlignment="1" applyProtection="1">
      <alignment horizontal="left" vertical="center"/>
    </xf>
    <xf numFmtId="0" fontId="5" fillId="3" borderId="27" xfId="0" applyFont="1" applyFill="1" applyBorder="1" applyAlignment="1" applyProtection="1">
      <alignment horizontal="left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0" fontId="5" fillId="0" borderId="14" xfId="0" applyFont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textRotation="255"/>
    </xf>
    <xf numFmtId="0" fontId="5" fillId="4" borderId="37" xfId="0" applyFont="1" applyFill="1" applyBorder="1" applyAlignment="1" applyProtection="1">
      <alignment horizontal="left" vertical="center"/>
    </xf>
    <xf numFmtId="3" fontId="3" fillId="0" borderId="39" xfId="0" applyNumberFormat="1" applyFont="1" applyBorder="1" applyAlignment="1" applyProtection="1">
      <alignment horizontal="right"/>
    </xf>
    <xf numFmtId="3" fontId="3" fillId="0" borderId="40" xfId="0" applyNumberFormat="1" applyFont="1" applyBorder="1" applyAlignment="1" applyProtection="1">
      <alignment horizontal="right"/>
    </xf>
    <xf numFmtId="3" fontId="2" fillId="3" borderId="41" xfId="0" applyNumberFormat="1" applyFont="1" applyFill="1" applyBorder="1" applyAlignment="1" applyProtection="1">
      <alignment horizontal="right"/>
    </xf>
    <xf numFmtId="0" fontId="5" fillId="0" borderId="12" xfId="0" applyFont="1" applyBorder="1" applyAlignment="1" applyProtection="1">
      <alignment horizontal="left"/>
    </xf>
    <xf numFmtId="3" fontId="2" fillId="0" borderId="23" xfId="0" applyNumberFormat="1" applyFont="1" applyBorder="1" applyAlignment="1" applyProtection="1">
      <alignment horizontal="right"/>
    </xf>
    <xf numFmtId="3" fontId="2" fillId="0" borderId="25" xfId="0" applyNumberFormat="1" applyFont="1" applyBorder="1" applyAlignment="1" applyProtection="1">
      <alignment horizontal="right"/>
    </xf>
    <xf numFmtId="3" fontId="2" fillId="0" borderId="26" xfId="0" applyNumberFormat="1" applyFont="1" applyBorder="1" applyAlignment="1" applyProtection="1">
      <alignment horizontal="right"/>
    </xf>
    <xf numFmtId="0" fontId="5" fillId="0" borderId="30" xfId="0" applyFont="1" applyBorder="1" applyAlignment="1" applyProtection="1">
      <alignment horizontal="left"/>
    </xf>
    <xf numFmtId="0" fontId="5" fillId="0" borderId="31" xfId="0" applyFont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right"/>
    </xf>
    <xf numFmtId="3" fontId="2" fillId="0" borderId="30" xfId="0" applyNumberFormat="1" applyFont="1" applyBorder="1" applyAlignment="1" applyProtection="1">
      <alignment horizontal="right"/>
    </xf>
    <xf numFmtId="3" fontId="2" fillId="0" borderId="31" xfId="0" applyNumberFormat="1" applyFont="1" applyBorder="1" applyAlignment="1" applyProtection="1">
      <alignment horizontal="right"/>
    </xf>
    <xf numFmtId="0" fontId="5" fillId="0" borderId="19" xfId="0" applyFont="1" applyBorder="1" applyAlignment="1" applyProtection="1">
      <alignment horizontal="left"/>
    </xf>
    <xf numFmtId="0" fontId="5" fillId="0" borderId="20" xfId="0" applyFont="1" applyBorder="1" applyAlignment="1" applyProtection="1">
      <alignment horizontal="left"/>
    </xf>
    <xf numFmtId="3" fontId="2" fillId="0" borderId="15" xfId="0" applyNumberFormat="1" applyFont="1" applyBorder="1" applyAlignment="1" applyProtection="1">
      <alignment horizontal="right"/>
    </xf>
    <xf numFmtId="3" fontId="2" fillId="0" borderId="16" xfId="0" applyNumberFormat="1" applyFont="1" applyBorder="1" applyAlignment="1" applyProtection="1">
      <alignment horizontal="right"/>
    </xf>
    <xf numFmtId="3" fontId="2" fillId="0" borderId="42" xfId="0" applyNumberFormat="1" applyFont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9" fontId="2" fillId="2" borderId="39" xfId="1" applyNumberFormat="1" applyFont="1" applyFill="1" applyBorder="1" applyAlignment="1" applyProtection="1">
      <alignment horizontal="center" vertical="center" wrapText="1"/>
    </xf>
    <xf numFmtId="9" fontId="2" fillId="2" borderId="40" xfId="1" applyNumberFormat="1" applyFont="1" applyFill="1" applyBorder="1" applyAlignment="1" applyProtection="1">
      <alignment horizontal="center" vertical="center" wrapText="1"/>
    </xf>
    <xf numFmtId="9" fontId="2" fillId="2" borderId="5" xfId="1" applyNumberFormat="1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/>
    </xf>
    <xf numFmtId="0" fontId="5" fillId="5" borderId="35" xfId="0" applyFont="1" applyFill="1" applyBorder="1" applyAlignment="1" applyProtection="1">
      <alignment horizontal="left"/>
    </xf>
    <xf numFmtId="0" fontId="5" fillId="5" borderId="44" xfId="0" applyFont="1" applyFill="1" applyBorder="1" applyAlignment="1" applyProtection="1">
      <alignment horizontal="left"/>
    </xf>
    <xf numFmtId="0" fontId="5" fillId="5" borderId="36" xfId="0" applyFont="1" applyFill="1" applyBorder="1" applyAlignment="1" applyProtection="1">
      <alignment horizontal="left"/>
    </xf>
    <xf numFmtId="9" fontId="2" fillId="5" borderId="2" xfId="1" applyNumberFormat="1" applyFont="1" applyFill="1" applyBorder="1" applyAlignment="1" applyProtection="1">
      <alignment horizontal="center"/>
    </xf>
    <xf numFmtId="9" fontId="2" fillId="5" borderId="3" xfId="1" applyNumberFormat="1" applyFont="1" applyFill="1" applyBorder="1" applyAlignment="1" applyProtection="1">
      <alignment horizontal="center"/>
    </xf>
    <xf numFmtId="9" fontId="2" fillId="5" borderId="5" xfId="1" applyNumberFormat="1" applyFont="1" applyFill="1" applyBorder="1" applyAlignment="1" applyProtection="1">
      <alignment horizontal="center"/>
    </xf>
    <xf numFmtId="0" fontId="5" fillId="6" borderId="45" xfId="0" applyFont="1" applyFill="1" applyBorder="1" applyAlignment="1" applyProtection="1">
      <alignment horizontal="center"/>
    </xf>
    <xf numFmtId="0" fontId="5" fillId="6" borderId="35" xfId="0" applyFont="1" applyFill="1" applyBorder="1" applyAlignment="1" applyProtection="1">
      <alignment horizontal="left"/>
    </xf>
    <xf numFmtId="0" fontId="5" fillId="6" borderId="46" xfId="0" applyFont="1" applyFill="1" applyBorder="1" applyAlignment="1" applyProtection="1">
      <alignment horizontal="left"/>
    </xf>
    <xf numFmtId="0" fontId="5" fillId="6" borderId="5" xfId="0" applyFont="1" applyFill="1" applyBorder="1" applyAlignment="1" applyProtection="1">
      <alignment horizontal="center"/>
    </xf>
    <xf numFmtId="3" fontId="2" fillId="6" borderId="35" xfId="0" applyNumberFormat="1" applyFont="1" applyFill="1" applyBorder="1" applyAlignment="1" applyProtection="1">
      <alignment horizontal="center"/>
    </xf>
    <xf numFmtId="3" fontId="2" fillId="6" borderId="44" xfId="0" applyNumberFormat="1" applyFont="1" applyFill="1" applyBorder="1" applyAlignment="1" applyProtection="1">
      <alignment horizontal="center"/>
    </xf>
    <xf numFmtId="3" fontId="2" fillId="6" borderId="41" xfId="0" applyNumberFormat="1" applyFont="1" applyFill="1" applyBorder="1" applyAlignment="1" applyProtection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7" fillId="0" borderId="0" xfId="0" applyFont="1" applyBorder="1"/>
    <xf numFmtId="3" fontId="3" fillId="0" borderId="0" xfId="0" applyNumberFormat="1" applyFont="1"/>
    <xf numFmtId="3" fontId="3" fillId="3" borderId="4" xfId="0" applyNumberFormat="1" applyFont="1" applyFill="1" applyBorder="1" applyAlignment="1">
      <alignment horizontal="right" vertical="center" wrapText="1"/>
    </xf>
    <xf numFmtId="0" fontId="8" fillId="0" borderId="47" xfId="0" applyFont="1" applyBorder="1" applyAlignment="1">
      <alignment horizontal="left"/>
    </xf>
    <xf numFmtId="0" fontId="9" fillId="0" borderId="47" xfId="0" applyFont="1" applyBorder="1" applyAlignment="1"/>
    <xf numFmtId="0" fontId="9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48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49" xfId="0" applyFont="1" applyFill="1" applyBorder="1" applyAlignment="1" applyProtection="1">
      <alignment horizontal="center" textRotation="90"/>
    </xf>
    <xf numFmtId="0" fontId="9" fillId="0" borderId="22" xfId="0" applyFont="1" applyBorder="1" applyAlignment="1" applyProtection="1">
      <alignment horizontal="center"/>
    </xf>
    <xf numFmtId="0" fontId="9" fillId="4" borderId="1" xfId="0" applyFont="1" applyFill="1" applyBorder="1" applyAlignment="1" applyProtection="1">
      <alignment horizontal="left"/>
    </xf>
    <xf numFmtId="0" fontId="9" fillId="3" borderId="48" xfId="0" applyFont="1" applyFill="1" applyBorder="1" applyAlignment="1" applyProtection="1">
      <alignment horizontal="left"/>
    </xf>
    <xf numFmtId="3" fontId="10" fillId="3" borderId="2" xfId="0" applyNumberFormat="1" applyFont="1" applyFill="1" applyBorder="1" applyAlignment="1" applyProtection="1">
      <alignment horizontal="right"/>
    </xf>
    <xf numFmtId="3" fontId="10" fillId="3" borderId="3" xfId="0" applyNumberFormat="1" applyFont="1" applyFill="1" applyBorder="1" applyAlignment="1" applyProtection="1">
      <alignment horizontal="right"/>
    </xf>
    <xf numFmtId="3" fontId="8" fillId="3" borderId="5" xfId="0" applyNumberFormat="1" applyFont="1" applyFill="1" applyBorder="1" applyAlignment="1" applyProtection="1">
      <alignment horizontal="right"/>
    </xf>
    <xf numFmtId="0" fontId="9" fillId="0" borderId="8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left"/>
    </xf>
    <xf numFmtId="0" fontId="9" fillId="0" borderId="48" xfId="0" applyFont="1" applyBorder="1" applyAlignment="1" applyProtection="1">
      <alignment horizontal="left"/>
    </xf>
    <xf numFmtId="3" fontId="10" fillId="0" borderId="9" xfId="0" applyNumberFormat="1" applyFont="1" applyBorder="1" applyAlignment="1" applyProtection="1">
      <alignment horizontal="right"/>
    </xf>
    <xf numFmtId="3" fontId="10" fillId="0" borderId="10" xfId="0" applyNumberFormat="1" applyFont="1" applyBorder="1" applyAlignment="1" applyProtection="1">
      <alignment horizontal="right"/>
    </xf>
    <xf numFmtId="3" fontId="10" fillId="0" borderId="10" xfId="0" applyNumberFormat="1" applyFont="1" applyFill="1" applyBorder="1" applyAlignment="1" applyProtection="1">
      <alignment horizontal="right"/>
    </xf>
    <xf numFmtId="3" fontId="8" fillId="3" borderId="13" xfId="0" applyNumberFormat="1" applyFont="1" applyFill="1" applyBorder="1" applyAlignment="1" applyProtection="1">
      <alignment horizontal="right"/>
    </xf>
    <xf numFmtId="0" fontId="9" fillId="0" borderId="38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left"/>
    </xf>
    <xf numFmtId="3" fontId="10" fillId="0" borderId="50" xfId="0" applyNumberFormat="1" applyFont="1" applyBorder="1" applyAlignment="1" applyProtection="1">
      <alignment horizontal="right"/>
    </xf>
    <xf numFmtId="3" fontId="10" fillId="0" borderId="16" xfId="0" applyNumberFormat="1" applyFont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8" fillId="3" borderId="21" xfId="0" applyNumberFormat="1" applyFont="1" applyFill="1" applyBorder="1" applyAlignment="1" applyProtection="1">
      <alignment horizontal="right"/>
    </xf>
    <xf numFmtId="0" fontId="9" fillId="0" borderId="51" xfId="0" applyFont="1" applyBorder="1" applyAlignment="1" applyProtection="1">
      <alignment horizontal="center"/>
    </xf>
    <xf numFmtId="0" fontId="11" fillId="7" borderId="49" xfId="0" applyFont="1" applyFill="1" applyBorder="1" applyAlignment="1" applyProtection="1">
      <alignment horizontal="center" vertical="center" textRotation="255"/>
    </xf>
    <xf numFmtId="3" fontId="10" fillId="0" borderId="10" xfId="0" applyNumberFormat="1" applyFont="1" applyFill="1" applyBorder="1" applyAlignment="1">
      <alignment horizontal="right"/>
    </xf>
    <xf numFmtId="0" fontId="9" fillId="0" borderId="52" xfId="0" applyFont="1" applyBorder="1" applyAlignment="1" applyProtection="1">
      <alignment horizontal="center"/>
    </xf>
    <xf numFmtId="0" fontId="11" fillId="7" borderId="53" xfId="0" applyFont="1" applyFill="1" applyBorder="1" applyAlignment="1" applyProtection="1">
      <alignment horizontal="center" vertical="center" textRotation="255"/>
    </xf>
    <xf numFmtId="3" fontId="10" fillId="0" borderId="28" xfId="0" applyNumberFormat="1" applyFont="1" applyBorder="1" applyAlignment="1" applyProtection="1">
      <alignment horizontal="right"/>
    </xf>
    <xf numFmtId="3" fontId="10" fillId="0" borderId="30" xfId="0" applyNumberFormat="1" applyFont="1" applyBorder="1" applyAlignment="1" applyProtection="1">
      <alignment horizontal="right"/>
    </xf>
    <xf numFmtId="3" fontId="10" fillId="0" borderId="30" xfId="0" applyNumberFormat="1" applyFont="1" applyFill="1" applyBorder="1" applyAlignment="1" applyProtection="1">
      <alignment horizontal="right"/>
    </xf>
    <xf numFmtId="3" fontId="10" fillId="0" borderId="30" xfId="0" applyNumberFormat="1" applyFont="1" applyFill="1" applyBorder="1" applyAlignment="1">
      <alignment horizontal="right"/>
    </xf>
    <xf numFmtId="3" fontId="10" fillId="0" borderId="18" xfId="0" applyNumberFormat="1" applyFont="1" applyBorder="1" applyAlignment="1" applyProtection="1">
      <alignment horizontal="right"/>
    </xf>
    <xf numFmtId="3" fontId="10" fillId="0" borderId="19" xfId="0" applyNumberFormat="1" applyFont="1" applyBorder="1" applyAlignment="1" applyProtection="1">
      <alignment horizontal="right"/>
    </xf>
    <xf numFmtId="3" fontId="10" fillId="0" borderId="19" xfId="0" applyNumberFormat="1" applyFont="1" applyFill="1" applyBorder="1" applyAlignment="1" applyProtection="1">
      <alignment horizontal="right"/>
    </xf>
    <xf numFmtId="3" fontId="10" fillId="0" borderId="19" xfId="0" applyNumberFormat="1" applyFont="1" applyFill="1" applyBorder="1" applyAlignment="1">
      <alignment horizontal="right"/>
    </xf>
    <xf numFmtId="3" fontId="10" fillId="0" borderId="2" xfId="0" applyNumberFormat="1" applyFont="1" applyBorder="1" applyAlignment="1" applyProtection="1">
      <alignment horizontal="right"/>
    </xf>
    <xf numFmtId="3" fontId="10" fillId="0" borderId="3" xfId="0" applyNumberFormat="1" applyFont="1" applyBorder="1" applyAlignment="1" applyProtection="1">
      <alignment horizontal="right"/>
    </xf>
    <xf numFmtId="3" fontId="8" fillId="3" borderId="49" xfId="0" applyNumberFormat="1" applyFont="1" applyFill="1" applyBorder="1" applyAlignment="1" applyProtection="1">
      <alignment horizontal="right"/>
    </xf>
    <xf numFmtId="3" fontId="10" fillId="0" borderId="9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3" fontId="8" fillId="3" borderId="27" xfId="0" applyNumberFormat="1" applyFont="1" applyFill="1" applyBorder="1" applyAlignment="1" applyProtection="1">
      <alignment horizontal="right"/>
    </xf>
    <xf numFmtId="3" fontId="10" fillId="0" borderId="18" xfId="0" applyNumberFormat="1" applyFont="1" applyBorder="1" applyAlignment="1">
      <alignment horizontal="right"/>
    </xf>
    <xf numFmtId="3" fontId="10" fillId="0" borderId="19" xfId="0" applyNumberFormat="1" applyFont="1" applyBorder="1" applyAlignment="1">
      <alignment horizontal="right"/>
    </xf>
    <xf numFmtId="3" fontId="8" fillId="3" borderId="37" xfId="0" applyNumberFormat="1" applyFont="1" applyFill="1" applyBorder="1" applyAlignment="1" applyProtection="1">
      <alignment horizontal="right"/>
    </xf>
    <xf numFmtId="0" fontId="11" fillId="7" borderId="41" xfId="0" applyFont="1" applyFill="1" applyBorder="1" applyAlignment="1" applyProtection="1">
      <alignment horizontal="center" vertical="center" textRotation="255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3" borderId="6" xfId="0" applyFont="1" applyFill="1" applyBorder="1" applyAlignment="1" applyProtection="1">
      <alignment horizontal="left" vertical="center" wrapText="1"/>
    </xf>
    <xf numFmtId="3" fontId="10" fillId="3" borderId="2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8" fillId="3" borderId="53" xfId="0" applyNumberFormat="1" applyFont="1" applyFill="1" applyBorder="1" applyAlignment="1" applyProtection="1">
      <alignment horizontal="right" vertical="center"/>
    </xf>
    <xf numFmtId="0" fontId="9" fillId="0" borderId="54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/>
    </xf>
    <xf numFmtId="0" fontId="9" fillId="0" borderId="13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left" vertical="center"/>
    </xf>
    <xf numFmtId="3" fontId="8" fillId="3" borderId="32" xfId="0" applyNumberFormat="1" applyFont="1" applyFill="1" applyBorder="1" applyAlignment="1" applyProtection="1">
      <alignment horizontal="right"/>
    </xf>
    <xf numFmtId="0" fontId="9" fillId="0" borderId="21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3" fontId="8" fillId="3" borderId="53" xfId="0" applyNumberFormat="1" applyFont="1" applyFill="1" applyBorder="1" applyAlignment="1" applyProtection="1">
      <alignment horizontal="right"/>
    </xf>
    <xf numFmtId="0" fontId="9" fillId="4" borderId="49" xfId="0" applyFont="1" applyFill="1" applyBorder="1" applyAlignment="1" applyProtection="1">
      <alignment horizontal="left" vertical="center"/>
    </xf>
    <xf numFmtId="0" fontId="9" fillId="4" borderId="1" xfId="0" applyFont="1" applyFill="1" applyBorder="1" applyAlignment="1" applyProtection="1">
      <alignment horizontal="left"/>
    </xf>
    <xf numFmtId="3" fontId="10" fillId="4" borderId="2" xfId="0" applyNumberFormat="1" applyFont="1" applyFill="1" applyBorder="1" applyAlignment="1" applyProtection="1">
      <alignment horizontal="right"/>
    </xf>
    <xf numFmtId="3" fontId="10" fillId="4" borderId="3" xfId="0" applyNumberFormat="1" applyFont="1" applyFill="1" applyBorder="1" applyAlignment="1" applyProtection="1">
      <alignment horizontal="right"/>
    </xf>
    <xf numFmtId="3" fontId="8" fillId="4" borderId="5" xfId="0" applyNumberFormat="1" applyFont="1" applyFill="1" applyBorder="1" applyAlignment="1" applyProtection="1">
      <alignment horizontal="right"/>
    </xf>
    <xf numFmtId="0" fontId="9" fillId="0" borderId="55" xfId="0" applyFont="1" applyBorder="1" applyAlignment="1" applyProtection="1">
      <alignment horizontal="center" vertical="center"/>
    </xf>
    <xf numFmtId="0" fontId="9" fillId="4" borderId="41" xfId="0" applyFont="1" applyFill="1" applyBorder="1" applyAlignment="1" applyProtection="1">
      <alignment horizontal="left" vertical="center"/>
    </xf>
    <xf numFmtId="0" fontId="9" fillId="0" borderId="43" xfId="0" applyFont="1" applyBorder="1" applyAlignment="1" applyProtection="1">
      <alignment horizontal="left"/>
    </xf>
    <xf numFmtId="0" fontId="9" fillId="0" borderId="56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left"/>
    </xf>
    <xf numFmtId="0" fontId="9" fillId="0" borderId="57" xfId="0" applyFont="1" applyBorder="1" applyAlignment="1" applyProtection="1">
      <alignment horizontal="left"/>
    </xf>
    <xf numFmtId="3" fontId="8" fillId="0" borderId="9" xfId="0" applyNumberFormat="1" applyFont="1" applyBorder="1" applyAlignment="1" applyProtection="1">
      <alignment horizontal="right"/>
    </xf>
    <xf numFmtId="3" fontId="8" fillId="0" borderId="10" xfId="0" applyNumberFormat="1" applyFont="1" applyBorder="1" applyAlignment="1" applyProtection="1">
      <alignment horizontal="right"/>
    </xf>
    <xf numFmtId="0" fontId="9" fillId="0" borderId="58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left"/>
    </xf>
    <xf numFmtId="0" fontId="9" fillId="0" borderId="59" xfId="0" applyFont="1" applyBorder="1" applyAlignment="1" applyProtection="1">
      <alignment horizontal="left"/>
    </xf>
    <xf numFmtId="3" fontId="8" fillId="0" borderId="28" xfId="0" applyNumberFormat="1" applyFont="1" applyBorder="1" applyAlignment="1" applyProtection="1">
      <alignment horizontal="right"/>
    </xf>
    <xf numFmtId="3" fontId="8" fillId="0" borderId="30" xfId="0" applyNumberFormat="1" applyFont="1" applyBorder="1" applyAlignment="1" applyProtection="1">
      <alignment horizontal="right"/>
    </xf>
    <xf numFmtId="0" fontId="9" fillId="0" borderId="60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left"/>
    </xf>
    <xf numFmtId="0" fontId="9" fillId="0" borderId="61" xfId="0" applyFont="1" applyBorder="1" applyAlignment="1" applyProtection="1">
      <alignment horizontal="left"/>
    </xf>
    <xf numFmtId="3" fontId="8" fillId="0" borderId="18" xfId="0" applyNumberFormat="1" applyFont="1" applyBorder="1" applyAlignment="1" applyProtection="1">
      <alignment horizontal="right"/>
    </xf>
    <xf numFmtId="3" fontId="8" fillId="0" borderId="19" xfId="0" applyNumberFormat="1" applyFont="1" applyBorder="1" applyAlignment="1" applyProtection="1">
      <alignment horizontal="right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48" xfId="0" applyFont="1" applyFill="1" applyBorder="1" applyAlignment="1" applyProtection="1">
      <alignment horizontal="left" vertical="center" wrapText="1"/>
    </xf>
    <xf numFmtId="9" fontId="8" fillId="2" borderId="2" xfId="1" applyNumberFormat="1" applyFont="1" applyFill="1" applyBorder="1" applyAlignment="1" applyProtection="1">
      <alignment horizontal="center" vertical="center" wrapText="1"/>
    </xf>
    <xf numFmtId="9" fontId="8" fillId="2" borderId="3" xfId="1" applyNumberFormat="1" applyFont="1" applyFill="1" applyBorder="1" applyAlignment="1" applyProtection="1">
      <alignment horizontal="center" vertical="center" wrapText="1"/>
    </xf>
    <xf numFmtId="9" fontId="8" fillId="2" borderId="53" xfId="1" applyNumberFormat="1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/>
    </xf>
    <xf numFmtId="0" fontId="9" fillId="5" borderId="1" xfId="0" applyFont="1" applyFill="1" applyBorder="1" applyAlignment="1" applyProtection="1">
      <alignment horizontal="left"/>
    </xf>
    <xf numFmtId="0" fontId="9" fillId="5" borderId="48" xfId="0" applyFont="1" applyFill="1" applyBorder="1" applyAlignment="1" applyProtection="1">
      <alignment horizontal="left"/>
    </xf>
    <xf numFmtId="9" fontId="8" fillId="5" borderId="2" xfId="1" applyNumberFormat="1" applyFont="1" applyFill="1" applyBorder="1" applyAlignment="1" applyProtection="1">
      <alignment horizontal="center"/>
    </xf>
    <xf numFmtId="9" fontId="8" fillId="5" borderId="3" xfId="1" applyNumberFormat="1" applyFont="1" applyFill="1" applyBorder="1" applyAlignment="1" applyProtection="1">
      <alignment horizontal="center"/>
    </xf>
    <xf numFmtId="9" fontId="8" fillId="5" borderId="5" xfId="1" applyNumberFormat="1" applyFont="1" applyFill="1" applyBorder="1" applyAlignment="1" applyProtection="1">
      <alignment horizontal="center"/>
    </xf>
    <xf numFmtId="0" fontId="9" fillId="4" borderId="1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left"/>
    </xf>
    <xf numFmtId="3" fontId="8" fillId="4" borderId="35" xfId="0" applyNumberFormat="1" applyFont="1" applyFill="1" applyBorder="1" applyAlignment="1" applyProtection="1">
      <alignment horizontal="center"/>
    </xf>
    <xf numFmtId="3" fontId="8" fillId="4" borderId="44" xfId="0" applyNumberFormat="1" applyFont="1" applyFill="1" applyBorder="1" applyAlignment="1" applyProtection="1">
      <alignment horizontal="center"/>
    </xf>
    <xf numFmtId="3" fontId="8" fillId="4" borderId="41" xfId="0" applyNumberFormat="1" applyFont="1" applyFill="1" applyBorder="1" applyAlignment="1" applyProtection="1">
      <alignment horizontal="center"/>
    </xf>
    <xf numFmtId="3" fontId="10" fillId="0" borderId="0" xfId="0" applyNumberFormat="1" applyFo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applyFont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Fill="1"/>
    <xf numFmtId="0" fontId="10" fillId="0" borderId="0" xfId="0" applyFont="1" applyFill="1"/>
    <xf numFmtId="0" fontId="13" fillId="0" borderId="0" xfId="0" applyFont="1" applyFill="1"/>
    <xf numFmtId="3" fontId="10" fillId="3" borderId="62" xfId="0" applyNumberFormat="1" applyFont="1" applyFill="1" applyBorder="1" applyAlignment="1">
      <alignment horizontal="right"/>
    </xf>
    <xf numFmtId="3" fontId="10" fillId="3" borderId="63" xfId="0" applyNumberFormat="1" applyFont="1" applyFill="1" applyBorder="1" applyAlignment="1">
      <alignment horizontal="right"/>
    </xf>
    <xf numFmtId="3" fontId="10" fillId="3" borderId="35" xfId="0" applyNumberFormat="1" applyFont="1" applyFill="1" applyBorder="1" applyAlignment="1" applyProtection="1">
      <alignment horizontal="right"/>
    </xf>
    <xf numFmtId="3" fontId="10" fillId="3" borderId="64" xfId="0" applyNumberFormat="1" applyFont="1" applyFill="1" applyBorder="1" applyAlignment="1" applyProtection="1">
      <alignment horizontal="right"/>
    </xf>
    <xf numFmtId="3" fontId="10" fillId="3" borderId="44" xfId="0" applyNumberFormat="1" applyFont="1" applyFill="1" applyBorder="1" applyAlignment="1" applyProtection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es-CO"/>
              <a:t>CUMPLIMIENTO VUELOS - EMPRESAS NACIONALES JUL.  2009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FF"/>
                </a:gs>
                <a:gs pos="100000">
                  <a:srgbClr val="0000FF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'[1]JUL 09'!$E$4:$J$4</c:f>
              <c:strCache>
                <c:ptCount val="6"/>
                <c:pt idx="0">
                  <c:v>ADA</c:v>
                </c:pt>
                <c:pt idx="1">
                  <c:v>AEROREPUBLICA</c:v>
                </c:pt>
                <c:pt idx="2">
                  <c:v>AIRES</c:v>
                </c:pt>
                <c:pt idx="3">
                  <c:v>AVIANCA</c:v>
                </c:pt>
                <c:pt idx="4">
                  <c:v>EASYFLY</c:v>
                </c:pt>
                <c:pt idx="5">
                  <c:v>SAM</c:v>
                </c:pt>
              </c:strCache>
            </c:strRef>
          </c:cat>
          <c:val>
            <c:numRef>
              <c:f>'[1]JUL 09'!$E$28:$J$28</c:f>
              <c:numCache>
                <c:formatCode>General</c:formatCode>
                <c:ptCount val="6"/>
                <c:pt idx="0">
                  <c:v>0.76093849080532661</c:v>
                </c:pt>
                <c:pt idx="1">
                  <c:v>0.95269709543568459</c:v>
                </c:pt>
                <c:pt idx="2">
                  <c:v>0.85881587508132728</c:v>
                </c:pt>
                <c:pt idx="3">
                  <c:v>0.95427728613569318</c:v>
                </c:pt>
                <c:pt idx="4">
                  <c:v>0.93248610007942812</c:v>
                </c:pt>
                <c:pt idx="5">
                  <c:v>0.92963224893917962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57639552"/>
        <c:axId val="258820352"/>
      </c:barChart>
      <c:catAx>
        <c:axId val="25763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es-CO"/>
          </a:p>
        </c:txPr>
        <c:crossAx val="25882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2035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es-CO"/>
          </a:p>
        </c:txPr>
        <c:crossAx val="257639552"/>
        <c:crosses val="autoZero"/>
        <c:crossBetween val="between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val="99CCFF">
            <a:gamma/>
            <a:tint val="3137"/>
            <a:invGamma/>
          </a:srgbClr>
        </a:gs>
        <a:gs pos="100000">
          <a:srgbClr val="99CCFF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CUMPLIMIENTO VUELOS - EMPRESAS INTERNACIONALES (JULIO 2009)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'[2]JUL 09'!$E$4:$AB$4</c:f>
              <c:strCache>
                <c:ptCount val="24"/>
                <c:pt idx="0">
                  <c:v>A.ARGENTINAS</c:v>
                </c:pt>
                <c:pt idx="1">
                  <c:v>A. GALAPAGOS</c:v>
                </c:pt>
                <c:pt idx="2">
                  <c:v>AEROREPUBLICA</c:v>
                </c:pt>
                <c:pt idx="3">
                  <c:v>AI R E S</c:v>
                </c:pt>
                <c:pt idx="4">
                  <c:v>AIR  CANADA</c:v>
                </c:pt>
                <c:pt idx="5">
                  <c:v>AIR  FRANCE</c:v>
                </c:pt>
                <c:pt idx="6">
                  <c:v>AIR COMET</c:v>
                </c:pt>
                <c:pt idx="7">
                  <c:v>AMERICAN</c:v>
                </c:pt>
                <c:pt idx="8">
                  <c:v>AVIANCA</c:v>
                </c:pt>
                <c:pt idx="9">
                  <c:v>CONTINENTAL</c:v>
                </c:pt>
                <c:pt idx="10">
                  <c:v>COPA</c:v>
                </c:pt>
                <c:pt idx="11">
                  <c:v>CUBANA</c:v>
                </c:pt>
                <c:pt idx="12">
                  <c:v>DELTA</c:v>
                </c:pt>
                <c:pt idx="13">
                  <c:v>DUTCH</c:v>
                </c:pt>
                <c:pt idx="14">
                  <c:v>IBERIA</c:v>
                </c:pt>
                <c:pt idx="15">
                  <c:v>LACSA</c:v>
                </c:pt>
                <c:pt idx="16">
                  <c:v>LAN  PERU</c:v>
                </c:pt>
                <c:pt idx="17">
                  <c:v>LAN CHILE</c:v>
                </c:pt>
                <c:pt idx="18">
                  <c:v>MEXICANA </c:v>
                </c:pt>
                <c:pt idx="19">
                  <c:v>SAM</c:v>
                </c:pt>
                <c:pt idx="20">
                  <c:v>SPIRIT</c:v>
                </c:pt>
                <c:pt idx="21">
                  <c:v>TACA  PERU</c:v>
                </c:pt>
                <c:pt idx="22">
                  <c:v>TAME</c:v>
                </c:pt>
                <c:pt idx="23">
                  <c:v>VARIG</c:v>
                </c:pt>
              </c:strCache>
            </c:strRef>
          </c:cat>
          <c:val>
            <c:numRef>
              <c:f>'[2]JUL 09'!$E$28:$AB$28</c:f>
              <c:numCache>
                <c:formatCode>General</c:formatCode>
                <c:ptCount val="24"/>
                <c:pt idx="0">
                  <c:v>0.7142857142857143</c:v>
                </c:pt>
                <c:pt idx="1">
                  <c:v>0.967741935483871</c:v>
                </c:pt>
                <c:pt idx="2">
                  <c:v>0.95721925133689845</c:v>
                </c:pt>
                <c:pt idx="3">
                  <c:v>0.79069767441860461</c:v>
                </c:pt>
                <c:pt idx="4">
                  <c:v>0.30769230769230771</c:v>
                </c:pt>
                <c:pt idx="5">
                  <c:v>1</c:v>
                </c:pt>
                <c:pt idx="6">
                  <c:v>0.84615384615384615</c:v>
                </c:pt>
                <c:pt idx="7">
                  <c:v>0.74193548387096775</c:v>
                </c:pt>
                <c:pt idx="8">
                  <c:v>0.94473229706390327</c:v>
                </c:pt>
                <c:pt idx="9">
                  <c:v>0.94623655913978499</c:v>
                </c:pt>
                <c:pt idx="10">
                  <c:v>0.97695852534562211</c:v>
                </c:pt>
                <c:pt idx="11">
                  <c:v>1</c:v>
                </c:pt>
                <c:pt idx="12">
                  <c:v>0.82692307692307687</c:v>
                </c:pt>
                <c:pt idx="13">
                  <c:v>0.77777777777777779</c:v>
                </c:pt>
                <c:pt idx="14">
                  <c:v>0.27083333333333331</c:v>
                </c:pt>
                <c:pt idx="15">
                  <c:v>1</c:v>
                </c:pt>
                <c:pt idx="16">
                  <c:v>0.97499999999999998</c:v>
                </c:pt>
                <c:pt idx="17">
                  <c:v>0</c:v>
                </c:pt>
                <c:pt idx="18">
                  <c:v>0.8571428571428571</c:v>
                </c:pt>
                <c:pt idx="19">
                  <c:v>0.90697674418604646</c:v>
                </c:pt>
                <c:pt idx="20">
                  <c:v>0.81111111111111112</c:v>
                </c:pt>
                <c:pt idx="21">
                  <c:v>1</c:v>
                </c:pt>
                <c:pt idx="22">
                  <c:v>0</c:v>
                </c:pt>
                <c:pt idx="23">
                  <c:v>0.6428571428571429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4979584"/>
        <c:axId val="269680640"/>
      </c:barChart>
      <c:catAx>
        <c:axId val="264979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9680640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269680640"/>
        <c:scaling>
          <c:orientation val="minMax"/>
          <c:max val="1.10000000000000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4979584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% CUMPLIMIENTO DE SERVICIOS DE VUELOS INTERNACIONALES JULIO 2009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'[2]JUL 09'!$D$46:$F$46</c:f>
              <c:strCache>
                <c:ptCount val="3"/>
                <c:pt idx="0">
                  <c:v> Cumplidos</c:v>
                </c:pt>
                <c:pt idx="1">
                  <c:v> Demorados</c:v>
                </c:pt>
                <c:pt idx="2">
                  <c:v>Cancelados</c:v>
                </c:pt>
              </c:strCache>
            </c:strRef>
          </c:cat>
          <c:val>
            <c:numRef>
              <c:f>'[2]JUL 09'!$D$47:$F$47</c:f>
              <c:numCache>
                <c:formatCode>General</c:formatCode>
                <c:ptCount val="3"/>
                <c:pt idx="0">
                  <c:v>84.067796610169495</c:v>
                </c:pt>
                <c:pt idx="1">
                  <c:v>15.796610169491526</c:v>
                </c:pt>
                <c:pt idx="2">
                  <c:v>0.13559322033898305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'[2]JUL 09'!$D$46:$F$46</c:f>
              <c:strCache>
                <c:ptCount val="3"/>
                <c:pt idx="0">
                  <c:v> Cumplidos</c:v>
                </c:pt>
                <c:pt idx="1">
                  <c:v> Demorados</c:v>
                </c:pt>
                <c:pt idx="2">
                  <c:v>Cancelados</c:v>
                </c:pt>
              </c:strCache>
            </c:strRef>
          </c:cat>
          <c:val>
            <c:numRef>
              <c:f>'[2]JUL 09'!$D$48:$F$48</c:f>
              <c:numCache>
                <c:formatCode>General</c:formatCode>
                <c:ptCount val="3"/>
                <c:pt idx="0">
                  <c:v>2480</c:v>
                </c:pt>
                <c:pt idx="1">
                  <c:v>466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33</xdr:row>
      <xdr:rowOff>0</xdr:rowOff>
    </xdr:from>
    <xdr:to>
      <xdr:col>10</xdr:col>
      <xdr:colOff>0</xdr:colOff>
      <xdr:row>33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32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32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4242800/Configuraci&#243;n%20local/Archivos%20temporales%20de%20Internet/OLK16/CUMPLIMIENTO%20NACIONAL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4242800/Configuraci&#243;n%20local/Archivos%20temporales%20de%20Internet/OLK16/CUMPLIMIENTO%20INTERNACIONAL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09"/>
      <sheetName val="FEB 09"/>
      <sheetName val="MAR 09"/>
      <sheetName val="ABR 09"/>
      <sheetName val="MAY 09"/>
      <sheetName val="JUN 09"/>
      <sheetName val="JUL 09"/>
      <sheetName val="AGO 09"/>
      <sheetName val="SEP 09"/>
      <sheetName val="OCT 09"/>
      <sheetName val="NOV 09"/>
      <sheetName val="DIC 09"/>
      <sheetName val="ACOMULADO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 t="str">
            <v>ADA</v>
          </cell>
          <cell r="F4" t="str">
            <v>AEROREPUBLICA</v>
          </cell>
          <cell r="G4" t="str">
            <v>AIRES</v>
          </cell>
          <cell r="H4" t="str">
            <v>AVIANCA</v>
          </cell>
          <cell r="I4" t="str">
            <v>EASYFLY</v>
          </cell>
          <cell r="J4" t="str">
            <v>SAM</v>
          </cell>
        </row>
        <row r="28">
          <cell r="E28">
            <v>0.76093849080532661</v>
          </cell>
          <cell r="F28">
            <v>0.95269709543568459</v>
          </cell>
          <cell r="G28">
            <v>0.85881587508132728</v>
          </cell>
          <cell r="H28">
            <v>0.95427728613569318</v>
          </cell>
          <cell r="I28">
            <v>0.93248610007942812</v>
          </cell>
          <cell r="J28">
            <v>0.92963224893917962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09"/>
      <sheetName val="FEB 09"/>
      <sheetName val="MAR 09"/>
      <sheetName val="ABR 09"/>
      <sheetName val="MAY 09"/>
      <sheetName val="JUN 09"/>
      <sheetName val="JUL 09"/>
      <sheetName val="AGO 09"/>
      <sheetName val="SEP 09"/>
      <sheetName val="OCT 09"/>
      <sheetName val="NOV 09"/>
      <sheetName val="DIC 09"/>
      <sheetName val="TOTAL 09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 t="str">
            <v>A.ARGENTINAS</v>
          </cell>
          <cell r="F4" t="str">
            <v>A. GALAPAGOS</v>
          </cell>
          <cell r="G4" t="str">
            <v>AEROREPUBLICA</v>
          </cell>
          <cell r="H4" t="str">
            <v>AI R E S</v>
          </cell>
          <cell r="I4" t="str">
            <v>AIR  CANADA</v>
          </cell>
          <cell r="J4" t="str">
            <v>AIR  FRANCE</v>
          </cell>
          <cell r="K4" t="str">
            <v>AIR COMET</v>
          </cell>
          <cell r="L4" t="str">
            <v>AMERICAN</v>
          </cell>
          <cell r="M4" t="str">
            <v>AVIANCA</v>
          </cell>
          <cell r="N4" t="str">
            <v>CONTINENTAL</v>
          </cell>
          <cell r="O4" t="str">
            <v>COPA</v>
          </cell>
          <cell r="P4" t="str">
            <v>CUBANA</v>
          </cell>
          <cell r="Q4" t="str">
            <v>DELTA</v>
          </cell>
          <cell r="R4" t="str">
            <v>DUTCH</v>
          </cell>
          <cell r="S4" t="str">
            <v>IBERIA</v>
          </cell>
          <cell r="T4" t="str">
            <v>LACSA</v>
          </cell>
          <cell r="U4" t="str">
            <v>LAN  PERU</v>
          </cell>
          <cell r="V4" t="str">
            <v>LAN CHILE</v>
          </cell>
          <cell r="W4" t="str">
            <v xml:space="preserve">MEXICANA </v>
          </cell>
          <cell r="X4" t="str">
            <v>SAM</v>
          </cell>
          <cell r="Y4" t="str">
            <v>SPIRIT</v>
          </cell>
          <cell r="Z4" t="str">
            <v>TACA  PERU</v>
          </cell>
          <cell r="AA4" t="str">
            <v>TAME</v>
          </cell>
          <cell r="AB4" t="str">
            <v>VARIG</v>
          </cell>
        </row>
        <row r="28">
          <cell r="E28">
            <v>0.7142857142857143</v>
          </cell>
          <cell r="F28">
            <v>0.967741935483871</v>
          </cell>
          <cell r="G28">
            <v>0.95721925133689845</v>
          </cell>
          <cell r="H28">
            <v>0.79069767441860461</v>
          </cell>
          <cell r="I28">
            <v>0.30769230769230771</v>
          </cell>
          <cell r="J28">
            <v>1</v>
          </cell>
          <cell r="K28">
            <v>0.84615384615384615</v>
          </cell>
          <cell r="L28">
            <v>0.74193548387096775</v>
          </cell>
          <cell r="M28">
            <v>0.94473229706390327</v>
          </cell>
          <cell r="N28">
            <v>0.94623655913978499</v>
          </cell>
          <cell r="O28">
            <v>0.97695852534562211</v>
          </cell>
          <cell r="P28">
            <v>1</v>
          </cell>
          <cell r="Q28">
            <v>0.82692307692307687</v>
          </cell>
          <cell r="R28">
            <v>0.77777777777777779</v>
          </cell>
          <cell r="S28">
            <v>0.27083333333333331</v>
          </cell>
          <cell r="T28">
            <v>1</v>
          </cell>
          <cell r="U28">
            <v>0.97499999999999998</v>
          </cell>
          <cell r="V28">
            <v>0</v>
          </cell>
          <cell r="W28">
            <v>0.8571428571428571</v>
          </cell>
          <cell r="X28">
            <v>0.90697674418604646</v>
          </cell>
          <cell r="Y28">
            <v>0.81111111111111112</v>
          </cell>
          <cell r="Z28">
            <v>1</v>
          </cell>
          <cell r="AA28">
            <v>0</v>
          </cell>
          <cell r="AB28">
            <v>0.6428571428571429</v>
          </cell>
        </row>
        <row r="46">
          <cell r="D46" t="str">
            <v xml:space="preserve"> Cumplidos</v>
          </cell>
          <cell r="E46" t="str">
            <v xml:space="preserve"> Demorados</v>
          </cell>
          <cell r="F46" t="str">
            <v>Cancelados</v>
          </cell>
        </row>
        <row r="47">
          <cell r="D47">
            <v>84.067796610169495</v>
          </cell>
          <cell r="E47">
            <v>15.796610169491526</v>
          </cell>
          <cell r="F47">
            <v>0.13559322033898305</v>
          </cell>
        </row>
        <row r="48">
          <cell r="D48">
            <v>2480</v>
          </cell>
          <cell r="E48">
            <v>466</v>
          </cell>
          <cell r="F48">
            <v>4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6" workbookViewId="0">
      <selection activeCell="C42" sqref="C42"/>
    </sheetView>
  </sheetViews>
  <sheetFormatPr baseColWidth="10" defaultRowHeight="15.6" x14ac:dyDescent="0.3"/>
  <cols>
    <col min="1" max="1" width="5.21875" style="3" bestFit="1" customWidth="1"/>
    <col min="2" max="2" width="3.6640625" style="3" bestFit="1" customWidth="1"/>
    <col min="3" max="3" width="47.6640625" style="3" bestFit="1" customWidth="1"/>
    <col min="4" max="4" width="15" style="3" bestFit="1" customWidth="1"/>
    <col min="5" max="6" width="7.77734375" style="3" bestFit="1" customWidth="1"/>
    <col min="7" max="8" width="9" style="3" bestFit="1" customWidth="1"/>
    <col min="9" max="9" width="7.77734375" style="3" bestFit="1" customWidth="1"/>
    <col min="10" max="10" width="6.5546875" style="3" bestFit="1" customWidth="1"/>
    <col min="11" max="11" width="9" style="3" bestFit="1" customWidth="1"/>
    <col min="12" max="16384" width="11.5546875" style="3"/>
  </cols>
  <sheetData>
    <row r="1" spans="1:1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16.2" thickBo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2"/>
    </row>
    <row r="4" spans="1:11" ht="50.4" thickTop="1" thickBot="1" x14ac:dyDescent="0.35">
      <c r="A4" s="5" t="s">
        <v>3</v>
      </c>
      <c r="B4" s="6" t="s">
        <v>4</v>
      </c>
      <c r="C4" s="7"/>
      <c r="D4" s="8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10" t="s">
        <v>11</v>
      </c>
    </row>
    <row r="5" spans="1:11" ht="16.8" thickTop="1" thickBot="1" x14ac:dyDescent="0.35">
      <c r="A5" s="11">
        <v>1</v>
      </c>
      <c r="B5" s="12" t="s">
        <v>12</v>
      </c>
      <c r="C5" s="13"/>
      <c r="D5" s="14"/>
      <c r="E5" s="15">
        <v>1597</v>
      </c>
      <c r="F5" s="16">
        <v>1697</v>
      </c>
      <c r="G5" s="16">
        <v>3289</v>
      </c>
      <c r="H5" s="16">
        <v>8630</v>
      </c>
      <c r="I5" s="16">
        <v>1523</v>
      </c>
      <c r="J5" s="17">
        <v>777</v>
      </c>
      <c r="K5" s="18">
        <f t="shared" ref="K5:K29" si="0">SUM(E5:J5)</f>
        <v>17513</v>
      </c>
    </row>
    <row r="6" spans="1:11" ht="16.2" thickTop="1" x14ac:dyDescent="0.3">
      <c r="A6" s="19">
        <v>2</v>
      </c>
      <c r="B6" s="20" t="s">
        <v>13</v>
      </c>
      <c r="C6" s="21"/>
      <c r="D6" s="22"/>
      <c r="E6" s="23">
        <v>17</v>
      </c>
      <c r="F6" s="24">
        <v>0</v>
      </c>
      <c r="G6" s="24">
        <v>1298</v>
      </c>
      <c r="H6" s="24">
        <v>50</v>
      </c>
      <c r="I6" s="24">
        <v>1197</v>
      </c>
      <c r="J6" s="25">
        <v>0</v>
      </c>
      <c r="K6" s="26">
        <f t="shared" si="0"/>
        <v>2562</v>
      </c>
    </row>
    <row r="7" spans="1:11" ht="16.2" thickBot="1" x14ac:dyDescent="0.35">
      <c r="A7" s="27">
        <v>3</v>
      </c>
      <c r="B7" s="28" t="s">
        <v>14</v>
      </c>
      <c r="C7" s="29"/>
      <c r="D7" s="30"/>
      <c r="E7" s="31">
        <v>0</v>
      </c>
      <c r="F7" s="32">
        <v>0</v>
      </c>
      <c r="G7" s="32">
        <v>0</v>
      </c>
      <c r="H7" s="32">
        <v>233</v>
      </c>
      <c r="I7" s="32">
        <v>2</v>
      </c>
      <c r="J7" s="33">
        <v>0</v>
      </c>
      <c r="K7" s="34">
        <f t="shared" si="0"/>
        <v>235</v>
      </c>
    </row>
    <row r="8" spans="1:11" ht="16.2" thickTop="1" x14ac:dyDescent="0.3">
      <c r="A8" s="35">
        <v>4</v>
      </c>
      <c r="B8" s="36" t="s">
        <v>15</v>
      </c>
      <c r="C8" s="37" t="s">
        <v>16</v>
      </c>
      <c r="D8" s="38"/>
      <c r="E8" s="39">
        <v>8</v>
      </c>
      <c r="F8" s="40">
        <v>113</v>
      </c>
      <c r="G8" s="40">
        <v>187</v>
      </c>
      <c r="H8" s="40">
        <v>48</v>
      </c>
      <c r="I8" s="40">
        <v>16</v>
      </c>
      <c r="J8" s="41">
        <v>72</v>
      </c>
      <c r="K8" s="42">
        <f t="shared" si="0"/>
        <v>444</v>
      </c>
    </row>
    <row r="9" spans="1:11" x14ac:dyDescent="0.3">
      <c r="A9" s="19">
        <v>5</v>
      </c>
      <c r="B9" s="43"/>
      <c r="C9" s="44" t="s">
        <v>17</v>
      </c>
      <c r="D9" s="45"/>
      <c r="E9" s="46">
        <v>51</v>
      </c>
      <c r="F9" s="47">
        <v>0</v>
      </c>
      <c r="G9" s="47">
        <v>34</v>
      </c>
      <c r="H9" s="47">
        <v>282</v>
      </c>
      <c r="I9" s="47">
        <v>76</v>
      </c>
      <c r="J9" s="48">
        <v>0</v>
      </c>
      <c r="K9" s="49">
        <f t="shared" si="0"/>
        <v>443</v>
      </c>
    </row>
    <row r="10" spans="1:11" x14ac:dyDescent="0.3">
      <c r="A10" s="19">
        <v>6</v>
      </c>
      <c r="B10" s="43"/>
      <c r="C10" s="44" t="s">
        <v>18</v>
      </c>
      <c r="D10" s="45"/>
      <c r="E10" s="46">
        <v>19</v>
      </c>
      <c r="F10" s="47">
        <v>3</v>
      </c>
      <c r="G10" s="47">
        <v>9</v>
      </c>
      <c r="H10" s="47">
        <v>51</v>
      </c>
      <c r="I10" s="47"/>
      <c r="J10" s="48">
        <v>0</v>
      </c>
      <c r="K10" s="49">
        <f t="shared" si="0"/>
        <v>82</v>
      </c>
    </row>
    <row r="11" spans="1:11" ht="16.2" thickBot="1" x14ac:dyDescent="0.35">
      <c r="A11" s="19">
        <v>7</v>
      </c>
      <c r="B11" s="43"/>
      <c r="C11" s="50" t="s">
        <v>19</v>
      </c>
      <c r="D11" s="51"/>
      <c r="E11" s="31">
        <v>0</v>
      </c>
      <c r="F11" s="32">
        <v>1</v>
      </c>
      <c r="G11" s="32">
        <v>11</v>
      </c>
      <c r="H11" s="32">
        <v>24</v>
      </c>
      <c r="I11" s="32">
        <v>1</v>
      </c>
      <c r="J11" s="33">
        <v>0</v>
      </c>
      <c r="K11" s="34">
        <f t="shared" si="0"/>
        <v>37</v>
      </c>
    </row>
    <row r="12" spans="1:11" ht="16.8" thickTop="1" thickBot="1" x14ac:dyDescent="0.35">
      <c r="A12" s="19">
        <v>8</v>
      </c>
      <c r="B12" s="43"/>
      <c r="C12" s="52" t="s">
        <v>20</v>
      </c>
      <c r="D12" s="53"/>
      <c r="E12" s="54">
        <f t="shared" ref="E12:J12" si="1">IF((E8+E9+E10+E11)&gt;E35,0,(+E35-E8-E9-E10-E11))</f>
        <v>98</v>
      </c>
      <c r="F12" s="55">
        <f t="shared" si="1"/>
        <v>0</v>
      </c>
      <c r="G12" s="56">
        <f t="shared" si="1"/>
        <v>0</v>
      </c>
      <c r="H12" s="56">
        <f t="shared" si="1"/>
        <v>0</v>
      </c>
      <c r="I12" s="56">
        <f t="shared" si="1"/>
        <v>0</v>
      </c>
      <c r="J12" s="56">
        <f t="shared" si="1"/>
        <v>0</v>
      </c>
      <c r="K12" s="18">
        <f t="shared" si="0"/>
        <v>98</v>
      </c>
    </row>
    <row r="13" spans="1:11" ht="16.8" thickTop="1" thickBot="1" x14ac:dyDescent="0.35">
      <c r="A13" s="19">
        <v>9</v>
      </c>
      <c r="B13" s="43"/>
      <c r="C13" s="57" t="s">
        <v>21</v>
      </c>
      <c r="D13" s="58"/>
      <c r="E13" s="23">
        <f t="shared" ref="E13:J13" si="2">E8+E9</f>
        <v>59</v>
      </c>
      <c r="F13" s="24">
        <f t="shared" si="2"/>
        <v>113</v>
      </c>
      <c r="G13" s="24">
        <f t="shared" si="2"/>
        <v>221</v>
      </c>
      <c r="H13" s="24">
        <f t="shared" si="2"/>
        <v>330</v>
      </c>
      <c r="I13" s="24">
        <f t="shared" si="2"/>
        <v>92</v>
      </c>
      <c r="J13" s="24">
        <f t="shared" si="2"/>
        <v>72</v>
      </c>
      <c r="K13" s="26">
        <f t="shared" si="0"/>
        <v>887</v>
      </c>
    </row>
    <row r="14" spans="1:11" ht="16.8" thickTop="1" thickBot="1" x14ac:dyDescent="0.35">
      <c r="A14" s="19">
        <v>10</v>
      </c>
      <c r="B14" s="43"/>
      <c r="C14" s="52" t="s">
        <v>22</v>
      </c>
      <c r="D14" s="53"/>
      <c r="E14" s="59">
        <f t="shared" ref="E14:J14" si="3">E10+E11</f>
        <v>19</v>
      </c>
      <c r="F14" s="60">
        <f t="shared" si="3"/>
        <v>4</v>
      </c>
      <c r="G14" s="60">
        <f t="shared" si="3"/>
        <v>20</v>
      </c>
      <c r="H14" s="60">
        <f t="shared" si="3"/>
        <v>75</v>
      </c>
      <c r="I14" s="60">
        <f t="shared" si="3"/>
        <v>1</v>
      </c>
      <c r="J14" s="60">
        <f t="shared" si="3"/>
        <v>0</v>
      </c>
      <c r="K14" s="61">
        <f t="shared" si="0"/>
        <v>119</v>
      </c>
    </row>
    <row r="15" spans="1:11" ht="16.8" thickTop="1" thickBot="1" x14ac:dyDescent="0.35">
      <c r="A15" s="62">
        <v>11</v>
      </c>
      <c r="B15" s="63"/>
      <c r="C15" s="64" t="s">
        <v>23</v>
      </c>
      <c r="D15" s="65"/>
      <c r="E15" s="66">
        <f t="shared" ref="E15:J15" si="4">IF((E8+E9+E10+E11)&gt;E35,(E8+E9+E10+E11),E35)</f>
        <v>176</v>
      </c>
      <c r="F15" s="67">
        <f t="shared" si="4"/>
        <v>117</v>
      </c>
      <c r="G15" s="67">
        <f t="shared" si="4"/>
        <v>241</v>
      </c>
      <c r="H15" s="67">
        <f t="shared" si="4"/>
        <v>405</v>
      </c>
      <c r="I15" s="67">
        <f t="shared" si="4"/>
        <v>93</v>
      </c>
      <c r="J15" s="67">
        <f t="shared" si="4"/>
        <v>72</v>
      </c>
      <c r="K15" s="68">
        <f t="shared" si="0"/>
        <v>1104</v>
      </c>
    </row>
    <row r="16" spans="1:11" ht="16.2" thickTop="1" x14ac:dyDescent="0.3">
      <c r="A16" s="69">
        <v>12</v>
      </c>
      <c r="B16" s="70" t="s">
        <v>24</v>
      </c>
      <c r="C16" s="71" t="s">
        <v>25</v>
      </c>
      <c r="D16" s="72" t="s">
        <v>26</v>
      </c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1">
        <v>0</v>
      </c>
      <c r="K16" s="42">
        <f t="shared" si="0"/>
        <v>0</v>
      </c>
    </row>
    <row r="17" spans="1:11" ht="16.2" thickBot="1" x14ac:dyDescent="0.35">
      <c r="A17" s="73"/>
      <c r="B17" s="43"/>
      <c r="C17" s="74"/>
      <c r="D17" s="75" t="s">
        <v>27</v>
      </c>
      <c r="E17" s="46">
        <v>0</v>
      </c>
      <c r="F17" s="47">
        <v>0</v>
      </c>
      <c r="G17" s="47">
        <v>0</v>
      </c>
      <c r="H17" s="47">
        <v>0</v>
      </c>
      <c r="I17" s="47">
        <v>0</v>
      </c>
      <c r="J17" s="48">
        <v>0</v>
      </c>
      <c r="K17" s="49">
        <f t="shared" si="0"/>
        <v>0</v>
      </c>
    </row>
    <row r="18" spans="1:11" ht="16.2" thickTop="1" x14ac:dyDescent="0.3">
      <c r="A18" s="73">
        <v>13</v>
      </c>
      <c r="B18" s="43"/>
      <c r="C18" s="76" t="s">
        <v>28</v>
      </c>
      <c r="D18" s="77" t="s">
        <v>26</v>
      </c>
      <c r="E18" s="46">
        <v>748</v>
      </c>
      <c r="F18" s="47">
        <v>321</v>
      </c>
      <c r="G18" s="47">
        <v>1156</v>
      </c>
      <c r="H18" s="47">
        <v>2490</v>
      </c>
      <c r="I18" s="47">
        <v>752</v>
      </c>
      <c r="J18" s="48">
        <v>195</v>
      </c>
      <c r="K18" s="49">
        <f t="shared" si="0"/>
        <v>5662</v>
      </c>
    </row>
    <row r="19" spans="1:11" ht="16.2" thickBot="1" x14ac:dyDescent="0.35">
      <c r="A19" s="73"/>
      <c r="B19" s="43"/>
      <c r="C19" s="78"/>
      <c r="D19" s="79" t="s">
        <v>27</v>
      </c>
      <c r="E19" s="46">
        <f>1210*60</f>
        <v>72600</v>
      </c>
      <c r="F19" s="47">
        <f>322*60+21</f>
        <v>19341</v>
      </c>
      <c r="G19" s="47">
        <v>87737</v>
      </c>
      <c r="H19" s="47">
        <v>180134</v>
      </c>
      <c r="I19" s="47">
        <f>793*60+18</f>
        <v>47598</v>
      </c>
      <c r="J19" s="48">
        <f>75*60+29</f>
        <v>4529</v>
      </c>
      <c r="K19" s="49">
        <f t="shared" si="0"/>
        <v>411939</v>
      </c>
    </row>
    <row r="20" spans="1:11" ht="16.2" thickTop="1" x14ac:dyDescent="0.3">
      <c r="A20" s="73">
        <v>14</v>
      </c>
      <c r="B20" s="43"/>
      <c r="C20" s="71" t="s">
        <v>18</v>
      </c>
      <c r="D20" s="72" t="s">
        <v>26</v>
      </c>
      <c r="E20" s="46">
        <v>255</v>
      </c>
      <c r="F20" s="47">
        <v>46</v>
      </c>
      <c r="G20" s="47">
        <v>200</v>
      </c>
      <c r="H20" s="47">
        <v>217</v>
      </c>
      <c r="I20" s="47">
        <v>62</v>
      </c>
      <c r="J20" s="48">
        <v>56</v>
      </c>
      <c r="K20" s="49">
        <f t="shared" si="0"/>
        <v>836</v>
      </c>
    </row>
    <row r="21" spans="1:11" ht="16.2" thickBot="1" x14ac:dyDescent="0.35">
      <c r="A21" s="73"/>
      <c r="B21" s="43"/>
      <c r="C21" s="74"/>
      <c r="D21" s="75" t="s">
        <v>27</v>
      </c>
      <c r="E21" s="46">
        <f>225*60</f>
        <v>13500</v>
      </c>
      <c r="F21" s="47">
        <f>67*60+29</f>
        <v>4049</v>
      </c>
      <c r="G21" s="47">
        <v>17914</v>
      </c>
      <c r="H21" s="47">
        <v>16763</v>
      </c>
      <c r="I21" s="47">
        <f>44*60+14</f>
        <v>2654</v>
      </c>
      <c r="J21" s="48">
        <f>35*60+12</f>
        <v>2112</v>
      </c>
      <c r="K21" s="49">
        <f t="shared" si="0"/>
        <v>56992</v>
      </c>
    </row>
    <row r="22" spans="1:11" ht="16.2" thickTop="1" x14ac:dyDescent="0.3">
      <c r="A22" s="73">
        <v>15</v>
      </c>
      <c r="B22" s="43"/>
      <c r="C22" s="76" t="s">
        <v>19</v>
      </c>
      <c r="D22" s="77" t="s">
        <v>26</v>
      </c>
      <c r="E22" s="46">
        <v>65</v>
      </c>
      <c r="F22" s="47">
        <v>80</v>
      </c>
      <c r="G22" s="47">
        <v>308</v>
      </c>
      <c r="H22" s="47">
        <v>302</v>
      </c>
      <c r="I22" s="47">
        <v>32</v>
      </c>
      <c r="J22" s="48">
        <v>18</v>
      </c>
      <c r="K22" s="49">
        <f t="shared" si="0"/>
        <v>805</v>
      </c>
    </row>
    <row r="23" spans="1:11" ht="16.2" thickBot="1" x14ac:dyDescent="0.35">
      <c r="A23" s="73"/>
      <c r="B23" s="43"/>
      <c r="C23" s="74"/>
      <c r="D23" s="75" t="s">
        <v>27</v>
      </c>
      <c r="E23" s="31">
        <f>44*60</f>
        <v>2640</v>
      </c>
      <c r="F23" s="47">
        <f>89*60+20</f>
        <v>5360</v>
      </c>
      <c r="G23" s="32">
        <v>15715</v>
      </c>
      <c r="H23" s="32">
        <v>12275</v>
      </c>
      <c r="I23" s="32">
        <f>9*60+6</f>
        <v>546</v>
      </c>
      <c r="J23" s="33">
        <f>6*60+29</f>
        <v>389</v>
      </c>
      <c r="K23" s="34">
        <f t="shared" si="0"/>
        <v>36925</v>
      </c>
    </row>
    <row r="24" spans="1:11" ht="16.8" thickTop="1" thickBot="1" x14ac:dyDescent="0.35">
      <c r="A24" s="80">
        <v>16</v>
      </c>
      <c r="B24" s="43"/>
      <c r="C24" s="81" t="s">
        <v>20</v>
      </c>
      <c r="D24" s="82"/>
      <c r="E24" s="54">
        <f t="shared" ref="E24:J24" si="5">IF((E16+E18+E20+E22)&gt;E36,0,(+E36-E16-E18-E20-E22))</f>
        <v>0</v>
      </c>
      <c r="F24" s="56">
        <f t="shared" si="5"/>
        <v>98</v>
      </c>
      <c r="G24" s="56">
        <f t="shared" si="5"/>
        <v>114</v>
      </c>
      <c r="H24" s="56">
        <f t="shared" si="5"/>
        <v>553</v>
      </c>
      <c r="I24" s="56">
        <f t="shared" si="5"/>
        <v>0</v>
      </c>
      <c r="J24" s="56">
        <f t="shared" si="5"/>
        <v>69</v>
      </c>
      <c r="K24" s="18">
        <f t="shared" si="0"/>
        <v>834</v>
      </c>
    </row>
    <row r="25" spans="1:11" ht="16.8" thickTop="1" thickBot="1" x14ac:dyDescent="0.35">
      <c r="A25" s="73">
        <v>17</v>
      </c>
      <c r="B25" s="43"/>
      <c r="C25" s="83" t="s">
        <v>29</v>
      </c>
      <c r="D25" s="84" t="s">
        <v>30</v>
      </c>
      <c r="E25" s="85">
        <f t="shared" ref="E25:J25" si="6">IF((E16+E18+E20+E22)&gt;E36,(E16+E18+E20+E22),E36)</f>
        <v>1068</v>
      </c>
      <c r="F25" s="86">
        <f t="shared" si="6"/>
        <v>545</v>
      </c>
      <c r="G25" s="86">
        <f t="shared" si="6"/>
        <v>1778</v>
      </c>
      <c r="H25" s="86">
        <f t="shared" si="6"/>
        <v>3562</v>
      </c>
      <c r="I25" s="86">
        <f t="shared" si="6"/>
        <v>846</v>
      </c>
      <c r="J25" s="86">
        <f t="shared" si="6"/>
        <v>338</v>
      </c>
      <c r="K25" s="18">
        <f t="shared" si="0"/>
        <v>8137</v>
      </c>
    </row>
    <row r="26" spans="1:11" ht="16.8" thickTop="1" thickBot="1" x14ac:dyDescent="0.35">
      <c r="A26" s="87"/>
      <c r="B26" s="88"/>
      <c r="C26" s="89"/>
      <c r="D26" s="75" t="s">
        <v>27</v>
      </c>
      <c r="E26" s="90">
        <f t="shared" ref="E26:J26" si="7">E17+E19+E21+E23</f>
        <v>88740</v>
      </c>
      <c r="F26" s="91">
        <f t="shared" si="7"/>
        <v>28750</v>
      </c>
      <c r="G26" s="91">
        <f t="shared" si="7"/>
        <v>121366</v>
      </c>
      <c r="H26" s="91">
        <f t="shared" si="7"/>
        <v>209172</v>
      </c>
      <c r="I26" s="91">
        <f t="shared" si="7"/>
        <v>50798</v>
      </c>
      <c r="J26" s="91">
        <f t="shared" si="7"/>
        <v>7030</v>
      </c>
      <c r="K26" s="92">
        <f t="shared" si="0"/>
        <v>505856</v>
      </c>
    </row>
    <row r="27" spans="1:11" ht="16.2" thickTop="1" x14ac:dyDescent="0.3">
      <c r="A27" s="35">
        <v>18</v>
      </c>
      <c r="B27" s="20" t="s">
        <v>31</v>
      </c>
      <c r="C27" s="21"/>
      <c r="D27" s="93"/>
      <c r="E27" s="94">
        <f t="shared" ref="E27:J27" si="8">E5+E6+E7</f>
        <v>1614</v>
      </c>
      <c r="F27" s="95">
        <f t="shared" si="8"/>
        <v>1697</v>
      </c>
      <c r="G27" s="95">
        <f t="shared" si="8"/>
        <v>4587</v>
      </c>
      <c r="H27" s="95">
        <f t="shared" si="8"/>
        <v>8913</v>
      </c>
      <c r="I27" s="95">
        <f t="shared" si="8"/>
        <v>2722</v>
      </c>
      <c r="J27" s="96">
        <f t="shared" si="8"/>
        <v>777</v>
      </c>
      <c r="K27" s="42">
        <f t="shared" si="0"/>
        <v>20310</v>
      </c>
    </row>
    <row r="28" spans="1:11" x14ac:dyDescent="0.3">
      <c r="A28" s="19">
        <v>19</v>
      </c>
      <c r="B28" s="44" t="s">
        <v>32</v>
      </c>
      <c r="C28" s="97"/>
      <c r="D28" s="98"/>
      <c r="E28" s="99">
        <f t="shared" ref="E28:J28" si="9">E27-E8</f>
        <v>1606</v>
      </c>
      <c r="F28" s="100">
        <f t="shared" si="9"/>
        <v>1584</v>
      </c>
      <c r="G28" s="100">
        <f t="shared" si="9"/>
        <v>4400</v>
      </c>
      <c r="H28" s="100">
        <f t="shared" si="9"/>
        <v>8865</v>
      </c>
      <c r="I28" s="100">
        <f t="shared" si="9"/>
        <v>2706</v>
      </c>
      <c r="J28" s="101">
        <f t="shared" si="9"/>
        <v>705</v>
      </c>
      <c r="K28" s="49">
        <f t="shared" si="0"/>
        <v>19866</v>
      </c>
    </row>
    <row r="29" spans="1:11" ht="16.2" thickBot="1" x14ac:dyDescent="0.35">
      <c r="A29" s="62">
        <v>20</v>
      </c>
      <c r="B29" s="50" t="s">
        <v>33</v>
      </c>
      <c r="C29" s="102"/>
      <c r="D29" s="103"/>
      <c r="E29" s="104">
        <f t="shared" ref="E29:J29" si="10">+E28-E9-E10-E11-E12-E16-E18-E20-E22-E24</f>
        <v>370</v>
      </c>
      <c r="F29" s="105">
        <f t="shared" si="10"/>
        <v>1035</v>
      </c>
      <c r="G29" s="105">
        <f t="shared" si="10"/>
        <v>2568</v>
      </c>
      <c r="H29" s="105">
        <f t="shared" si="10"/>
        <v>4946</v>
      </c>
      <c r="I29" s="105">
        <f t="shared" si="10"/>
        <v>1783</v>
      </c>
      <c r="J29" s="106">
        <f t="shared" si="10"/>
        <v>367</v>
      </c>
      <c r="K29" s="61">
        <f t="shared" si="0"/>
        <v>11069</v>
      </c>
    </row>
    <row r="30" spans="1:11" ht="29.4" customHeight="1" thickTop="1" thickBot="1" x14ac:dyDescent="0.35">
      <c r="A30" s="107">
        <v>21</v>
      </c>
      <c r="B30" s="108" t="s">
        <v>34</v>
      </c>
      <c r="C30" s="109"/>
      <c r="D30" s="110"/>
      <c r="E30" s="111">
        <f t="shared" ref="E30:K30" si="11">IF(E28=0,0,(IF(E29=0,0,((E29-E6-E7)/(E5-E9-E16-E18)))))</f>
        <v>0.44235588972431078</v>
      </c>
      <c r="F30" s="112">
        <f t="shared" si="11"/>
        <v>0.75218023255813948</v>
      </c>
      <c r="G30" s="112">
        <f t="shared" si="11"/>
        <v>0.60505002382086703</v>
      </c>
      <c r="H30" s="112">
        <f t="shared" si="11"/>
        <v>0.79600546261522709</v>
      </c>
      <c r="I30" s="112">
        <f t="shared" si="11"/>
        <v>0.84028776978417263</v>
      </c>
      <c r="J30" s="112">
        <f t="shared" si="11"/>
        <v>0.63058419243986252</v>
      </c>
      <c r="K30" s="113">
        <f t="shared" si="11"/>
        <v>0.72510518934081347</v>
      </c>
    </row>
    <row r="31" spans="1:11" ht="16.8" thickTop="1" thickBot="1" x14ac:dyDescent="0.35">
      <c r="A31" s="114">
        <v>22</v>
      </c>
      <c r="B31" s="115" t="s">
        <v>35</v>
      </c>
      <c r="C31" s="116"/>
      <c r="D31" s="117"/>
      <c r="E31" s="118">
        <f t="shared" ref="E31:K31" si="12">+E29/E5</f>
        <v>0.2316844082654978</v>
      </c>
      <c r="F31" s="118">
        <f t="shared" si="12"/>
        <v>0.60989982321744252</v>
      </c>
      <c r="G31" s="119">
        <f t="shared" si="12"/>
        <v>0.78078443295834599</v>
      </c>
      <c r="H31" s="119">
        <f t="shared" si="12"/>
        <v>0.57311703360370803</v>
      </c>
      <c r="I31" s="119">
        <f t="shared" si="12"/>
        <v>1.170715692711753</v>
      </c>
      <c r="J31" s="119">
        <f t="shared" si="12"/>
        <v>0.47232947232947231</v>
      </c>
      <c r="K31" s="120">
        <f t="shared" si="12"/>
        <v>0.63204476674470389</v>
      </c>
    </row>
    <row r="32" spans="1:11" ht="16.8" thickTop="1" thickBot="1" x14ac:dyDescent="0.35">
      <c r="A32" s="121">
        <v>23</v>
      </c>
      <c r="B32" s="122" t="s">
        <v>36</v>
      </c>
      <c r="C32" s="123"/>
      <c r="D32" s="124" t="s">
        <v>27</v>
      </c>
      <c r="E32" s="125">
        <f t="shared" ref="E32:K32" si="13">+E26/E25</f>
        <v>83.089887640449433</v>
      </c>
      <c r="F32" s="126">
        <f t="shared" si="13"/>
        <v>52.752293577981654</v>
      </c>
      <c r="G32" s="126">
        <f t="shared" si="13"/>
        <v>68.259842519685037</v>
      </c>
      <c r="H32" s="126">
        <f t="shared" si="13"/>
        <v>58.723189219539584</v>
      </c>
      <c r="I32" s="126">
        <f t="shared" si="13"/>
        <v>60.044917257683217</v>
      </c>
      <c r="J32" s="126">
        <f t="shared" si="13"/>
        <v>20.798816568047336</v>
      </c>
      <c r="K32" s="127">
        <f t="shared" si="13"/>
        <v>62.167383556593336</v>
      </c>
    </row>
    <row r="33" spans="1:11" ht="16.2" thickTop="1" x14ac:dyDescent="0.3">
      <c r="A33" s="4" t="s">
        <v>37</v>
      </c>
      <c r="B33" s="4"/>
      <c r="C33" s="4"/>
      <c r="D33" s="4"/>
      <c r="E33" s="2"/>
      <c r="F33" s="2"/>
      <c r="G33" s="2"/>
      <c r="H33" s="128"/>
      <c r="I33" s="128"/>
      <c r="J33" s="2"/>
      <c r="K33" s="2"/>
    </row>
    <row r="34" spans="1:11" ht="16.2" thickBot="1" x14ac:dyDescent="0.35">
      <c r="A34" s="129"/>
      <c r="B34" s="2"/>
      <c r="C34" s="2"/>
      <c r="D34" s="2"/>
      <c r="E34" s="2"/>
      <c r="F34" s="2"/>
      <c r="G34" s="130"/>
      <c r="H34" s="131"/>
      <c r="I34" s="131"/>
      <c r="J34" s="130"/>
      <c r="K34" s="2"/>
    </row>
    <row r="35" spans="1:11" ht="16.8" thickTop="1" thickBot="1" x14ac:dyDescent="0.35">
      <c r="A35" s="129"/>
      <c r="B35" s="2"/>
      <c r="C35" s="132" t="s">
        <v>38</v>
      </c>
      <c r="D35" s="2"/>
      <c r="E35" s="85">
        <v>176</v>
      </c>
      <c r="F35" s="86">
        <v>113</v>
      </c>
      <c r="G35" s="86">
        <v>241</v>
      </c>
      <c r="H35" s="86">
        <v>388</v>
      </c>
      <c r="I35" s="86">
        <v>93</v>
      </c>
      <c r="J35" s="133">
        <v>72</v>
      </c>
      <c r="K35" s="132"/>
    </row>
    <row r="36" spans="1:11" ht="16.8" thickTop="1" thickBot="1" x14ac:dyDescent="0.35">
      <c r="A36" s="129"/>
      <c r="B36" s="2"/>
      <c r="C36" s="132" t="s">
        <v>39</v>
      </c>
      <c r="D36" s="2"/>
      <c r="E36" s="15">
        <v>973</v>
      </c>
      <c r="F36" s="16">
        <v>545</v>
      </c>
      <c r="G36" s="16">
        <v>1778</v>
      </c>
      <c r="H36" s="16">
        <v>3562</v>
      </c>
      <c r="I36" s="16">
        <v>760</v>
      </c>
      <c r="J36" s="17">
        <v>338</v>
      </c>
      <c r="K36" s="132"/>
    </row>
    <row r="37" spans="1:11" ht="16.2" thickTop="1" x14ac:dyDescent="0.3"/>
  </sheetData>
  <mergeCells count="35">
    <mergeCell ref="B31:D31"/>
    <mergeCell ref="B32:C32"/>
    <mergeCell ref="A33:D33"/>
    <mergeCell ref="A25:A26"/>
    <mergeCell ref="C25:C26"/>
    <mergeCell ref="B27:D27"/>
    <mergeCell ref="B28:D28"/>
    <mergeCell ref="B29:D29"/>
    <mergeCell ref="B30:D30"/>
    <mergeCell ref="A16:A17"/>
    <mergeCell ref="B16:B26"/>
    <mergeCell ref="C16:C17"/>
    <mergeCell ref="A18:A19"/>
    <mergeCell ref="C18:C19"/>
    <mergeCell ref="A20:A21"/>
    <mergeCell ref="C20:C21"/>
    <mergeCell ref="A22:A23"/>
    <mergeCell ref="C22:C23"/>
    <mergeCell ref="C24:D24"/>
    <mergeCell ref="B7:D7"/>
    <mergeCell ref="B8:B15"/>
    <mergeCell ref="C8:D8"/>
    <mergeCell ref="C9:D9"/>
    <mergeCell ref="C10:D10"/>
    <mergeCell ref="C11:D11"/>
    <mergeCell ref="C12:D12"/>
    <mergeCell ref="C13:D13"/>
    <mergeCell ref="C14:D14"/>
    <mergeCell ref="C15:D15"/>
    <mergeCell ref="A1:J1"/>
    <mergeCell ref="A2:J2"/>
    <mergeCell ref="A3:J3"/>
    <mergeCell ref="B4:D4"/>
    <mergeCell ref="B5:D5"/>
    <mergeCell ref="B6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topLeftCell="A21" workbookViewId="0">
      <selection activeCell="D41" sqref="D41"/>
    </sheetView>
  </sheetViews>
  <sheetFormatPr baseColWidth="10" defaultRowHeight="13.8" x14ac:dyDescent="0.3"/>
  <cols>
    <col min="1" max="1" width="4.88671875" bestFit="1" customWidth="1"/>
    <col min="2" max="2" width="3.33203125" bestFit="1" customWidth="1"/>
    <col min="3" max="3" width="43.44140625" bestFit="1" customWidth="1"/>
    <col min="4" max="4" width="13.6640625" bestFit="1" customWidth="1"/>
    <col min="5" max="5" width="5.109375" bestFit="1" customWidth="1"/>
    <col min="6" max="6" width="4.33203125" bestFit="1" customWidth="1"/>
    <col min="7" max="7" width="6" bestFit="1" customWidth="1"/>
    <col min="8" max="10" width="5.109375" bestFit="1" customWidth="1"/>
    <col min="11" max="11" width="6.21875" bestFit="1" customWidth="1"/>
    <col min="12" max="12" width="6" bestFit="1" customWidth="1"/>
    <col min="13" max="13" width="7.109375" bestFit="1" customWidth="1"/>
    <col min="14" max="15" width="6" bestFit="1" customWidth="1"/>
    <col min="16" max="27" width="5.109375" bestFit="1" customWidth="1"/>
    <col min="28" max="28" width="7.109375" bestFit="1" customWidth="1"/>
  </cols>
  <sheetData>
    <row r="1" spans="1:28" ht="14.4" x14ac:dyDescent="0.3">
      <c r="A1" s="238" t="s">
        <v>0</v>
      </c>
      <c r="B1" s="238"/>
      <c r="C1" s="238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</row>
    <row r="2" spans="1:28" ht="14.4" x14ac:dyDescent="0.3">
      <c r="A2" s="238" t="s">
        <v>40</v>
      </c>
      <c r="B2" s="238"/>
      <c r="C2" s="238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</row>
    <row r="3" spans="1:28" ht="15" thickBot="1" x14ac:dyDescent="0.35">
      <c r="A3" s="134" t="s">
        <v>2</v>
      </c>
      <c r="B3" s="134"/>
      <c r="C3" s="134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</row>
    <row r="4" spans="1:28" ht="105" thickTop="1" thickBot="1" x14ac:dyDescent="0.35">
      <c r="A4" s="136" t="s">
        <v>3</v>
      </c>
      <c r="B4" s="137" t="s">
        <v>4</v>
      </c>
      <c r="C4" s="138"/>
      <c r="D4" s="139"/>
      <c r="E4" s="140" t="s">
        <v>41</v>
      </c>
      <c r="F4" s="140" t="s">
        <v>42</v>
      </c>
      <c r="G4" s="140" t="s">
        <v>43</v>
      </c>
      <c r="H4" s="140" t="s">
        <v>44</v>
      </c>
      <c r="I4" s="140" t="s">
        <v>45</v>
      </c>
      <c r="J4" s="140" t="s">
        <v>46</v>
      </c>
      <c r="K4" s="140" t="s">
        <v>47</v>
      </c>
      <c r="L4" s="140" t="s">
        <v>48</v>
      </c>
      <c r="M4" s="140" t="s">
        <v>49</v>
      </c>
      <c r="N4" s="140" t="s">
        <v>50</v>
      </c>
      <c r="O4" s="140" t="s">
        <v>51</v>
      </c>
      <c r="P4" s="140" t="s">
        <v>52</v>
      </c>
      <c r="Q4" s="140" t="s">
        <v>53</v>
      </c>
      <c r="R4" s="140" t="s">
        <v>54</v>
      </c>
      <c r="S4" s="140" t="s">
        <v>55</v>
      </c>
      <c r="T4" s="140" t="s">
        <v>56</v>
      </c>
      <c r="U4" s="140" t="s">
        <v>57</v>
      </c>
      <c r="V4" s="140" t="s">
        <v>58</v>
      </c>
      <c r="W4" s="140" t="s">
        <v>59</v>
      </c>
      <c r="X4" s="140" t="s">
        <v>60</v>
      </c>
      <c r="Y4" s="140" t="s">
        <v>61</v>
      </c>
      <c r="Z4" s="140" t="s">
        <v>62</v>
      </c>
      <c r="AA4" s="140" t="s">
        <v>63</v>
      </c>
      <c r="AB4" s="140" t="s">
        <v>11</v>
      </c>
    </row>
    <row r="5" spans="1:28" ht="15.6" thickTop="1" thickBot="1" x14ac:dyDescent="0.35">
      <c r="A5" s="141">
        <v>1</v>
      </c>
      <c r="B5" s="142" t="s">
        <v>12</v>
      </c>
      <c r="C5" s="143"/>
      <c r="D5" s="143"/>
      <c r="E5" s="144">
        <v>156</v>
      </c>
      <c r="F5" s="145">
        <v>13</v>
      </c>
      <c r="G5" s="145">
        <v>714</v>
      </c>
      <c r="H5" s="145">
        <v>42</v>
      </c>
      <c r="I5" s="145">
        <v>31</v>
      </c>
      <c r="J5" s="145">
        <v>18</v>
      </c>
      <c r="K5" s="145">
        <v>31</v>
      </c>
      <c r="L5" s="145">
        <v>154</v>
      </c>
      <c r="M5" s="145">
        <v>729</v>
      </c>
      <c r="N5" s="145">
        <v>93</v>
      </c>
      <c r="O5" s="145">
        <v>57</v>
      </c>
      <c r="P5" s="145">
        <v>55</v>
      </c>
      <c r="Q5" s="145">
        <v>5</v>
      </c>
      <c r="R5" s="145">
        <v>62</v>
      </c>
      <c r="S5" s="145">
        <v>58</v>
      </c>
      <c r="T5" s="145">
        <v>31</v>
      </c>
      <c r="U5" s="145">
        <v>93</v>
      </c>
      <c r="V5" s="145">
        <v>42</v>
      </c>
      <c r="W5" s="145">
        <v>93</v>
      </c>
      <c r="X5" s="145">
        <v>23</v>
      </c>
      <c r="Y5" s="145">
        <v>83</v>
      </c>
      <c r="Z5" s="145">
        <v>76</v>
      </c>
      <c r="AA5" s="145">
        <v>13</v>
      </c>
      <c r="AB5" s="146">
        <f t="shared" ref="AB5:AB29" si="0">SUM(E5:AA5)</f>
        <v>2672</v>
      </c>
    </row>
    <row r="6" spans="1:28" ht="15.6" thickTop="1" thickBot="1" x14ac:dyDescent="0.35">
      <c r="A6" s="147">
        <v>2</v>
      </c>
      <c r="B6" s="148" t="s">
        <v>13</v>
      </c>
      <c r="C6" s="149"/>
      <c r="D6" s="149"/>
      <c r="E6" s="150">
        <v>0</v>
      </c>
      <c r="F6" s="151">
        <v>0</v>
      </c>
      <c r="G6" s="151">
        <v>0</v>
      </c>
      <c r="H6" s="151">
        <v>0</v>
      </c>
      <c r="I6" s="151">
        <v>0</v>
      </c>
      <c r="J6" s="151">
        <v>0</v>
      </c>
      <c r="K6" s="151">
        <v>0</v>
      </c>
      <c r="L6" s="151">
        <v>0</v>
      </c>
      <c r="M6" s="152">
        <v>1</v>
      </c>
      <c r="N6" s="152">
        <v>0</v>
      </c>
      <c r="O6" s="152">
        <v>0</v>
      </c>
      <c r="P6" s="152">
        <v>0</v>
      </c>
      <c r="Q6" s="152">
        <v>0</v>
      </c>
      <c r="R6" s="152">
        <v>0</v>
      </c>
      <c r="S6" s="152">
        <v>0</v>
      </c>
      <c r="T6" s="152">
        <v>0</v>
      </c>
      <c r="U6" s="152">
        <v>0</v>
      </c>
      <c r="V6" s="152">
        <v>0</v>
      </c>
      <c r="W6" s="152">
        <v>0</v>
      </c>
      <c r="X6" s="152">
        <v>0</v>
      </c>
      <c r="Y6" s="152">
        <v>0</v>
      </c>
      <c r="Z6" s="152">
        <v>0</v>
      </c>
      <c r="AA6" s="152">
        <v>0</v>
      </c>
      <c r="AB6" s="153">
        <f t="shared" si="0"/>
        <v>1</v>
      </c>
    </row>
    <row r="7" spans="1:28" ht="15.6" thickTop="1" thickBot="1" x14ac:dyDescent="0.35">
      <c r="A7" s="154">
        <v>3</v>
      </c>
      <c r="B7" s="148" t="s">
        <v>14</v>
      </c>
      <c r="C7" s="149"/>
      <c r="D7" s="155"/>
      <c r="E7" s="156">
        <v>0</v>
      </c>
      <c r="F7" s="157">
        <v>0</v>
      </c>
      <c r="G7" s="157">
        <v>0</v>
      </c>
      <c r="H7" s="157">
        <v>0</v>
      </c>
      <c r="I7" s="157">
        <v>0</v>
      </c>
      <c r="J7" s="157">
        <v>0</v>
      </c>
      <c r="K7" s="157">
        <v>0</v>
      </c>
      <c r="L7" s="157">
        <v>0</v>
      </c>
      <c r="M7" s="158">
        <v>0</v>
      </c>
      <c r="N7" s="158">
        <v>0</v>
      </c>
      <c r="O7" s="158">
        <v>0</v>
      </c>
      <c r="P7" s="158">
        <v>0</v>
      </c>
      <c r="Q7" s="158">
        <v>0</v>
      </c>
      <c r="R7" s="158">
        <v>0</v>
      </c>
      <c r="S7" s="158">
        <v>0</v>
      </c>
      <c r="T7" s="158">
        <v>0</v>
      </c>
      <c r="U7" s="158">
        <v>0</v>
      </c>
      <c r="V7" s="158">
        <v>0</v>
      </c>
      <c r="W7" s="158">
        <v>0</v>
      </c>
      <c r="X7" s="158">
        <v>0</v>
      </c>
      <c r="Y7" s="158">
        <v>0</v>
      </c>
      <c r="Z7" s="158">
        <v>0</v>
      </c>
      <c r="AA7" s="158">
        <v>0</v>
      </c>
      <c r="AB7" s="159">
        <f t="shared" si="0"/>
        <v>0</v>
      </c>
    </row>
    <row r="8" spans="1:28" ht="15.6" thickTop="1" thickBot="1" x14ac:dyDescent="0.35">
      <c r="A8" s="160">
        <v>4</v>
      </c>
      <c r="B8" s="161" t="s">
        <v>15</v>
      </c>
      <c r="C8" s="148" t="s">
        <v>16</v>
      </c>
      <c r="D8" s="149"/>
      <c r="E8" s="150">
        <v>0</v>
      </c>
      <c r="F8" s="151">
        <v>0</v>
      </c>
      <c r="G8" s="152">
        <v>35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4</v>
      </c>
      <c r="N8" s="152">
        <v>0</v>
      </c>
      <c r="O8" s="152">
        <v>0</v>
      </c>
      <c r="P8" s="162">
        <v>1</v>
      </c>
      <c r="Q8" s="151">
        <v>0</v>
      </c>
      <c r="R8" s="151">
        <v>0</v>
      </c>
      <c r="S8" s="151">
        <v>0</v>
      </c>
      <c r="T8" s="151">
        <v>0</v>
      </c>
      <c r="U8" s="151">
        <v>0</v>
      </c>
      <c r="V8" s="151">
        <v>0</v>
      </c>
      <c r="W8" s="151">
        <v>0</v>
      </c>
      <c r="X8" s="151">
        <v>0</v>
      </c>
      <c r="Y8" s="151">
        <v>0</v>
      </c>
      <c r="Z8" s="151">
        <v>0</v>
      </c>
      <c r="AA8" s="151">
        <v>0</v>
      </c>
      <c r="AB8" s="159">
        <f t="shared" si="0"/>
        <v>40</v>
      </c>
    </row>
    <row r="9" spans="1:28" ht="15.6" thickTop="1" thickBot="1" x14ac:dyDescent="0.35">
      <c r="A9" s="163">
        <v>5</v>
      </c>
      <c r="B9" s="164"/>
      <c r="C9" s="148" t="s">
        <v>17</v>
      </c>
      <c r="D9" s="149"/>
      <c r="E9" s="165">
        <v>0</v>
      </c>
      <c r="F9" s="166">
        <v>0</v>
      </c>
      <c r="G9" s="166">
        <v>0</v>
      </c>
      <c r="H9" s="166">
        <v>0</v>
      </c>
      <c r="I9" s="167">
        <v>0</v>
      </c>
      <c r="J9" s="167">
        <v>0</v>
      </c>
      <c r="K9" s="167">
        <v>0</v>
      </c>
      <c r="L9" s="167">
        <v>0</v>
      </c>
      <c r="M9" s="167">
        <v>4</v>
      </c>
      <c r="N9" s="167">
        <v>2</v>
      </c>
      <c r="O9" s="167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68">
        <v>0</v>
      </c>
      <c r="W9" s="168">
        <v>0</v>
      </c>
      <c r="X9" s="168">
        <v>0</v>
      </c>
      <c r="Y9" s="168">
        <v>0</v>
      </c>
      <c r="Z9" s="168">
        <v>0</v>
      </c>
      <c r="AA9" s="168">
        <v>0</v>
      </c>
      <c r="AB9" s="159">
        <f t="shared" si="0"/>
        <v>6</v>
      </c>
    </row>
    <row r="10" spans="1:28" ht="15.6" thickTop="1" thickBot="1" x14ac:dyDescent="0.35">
      <c r="A10" s="163">
        <v>6</v>
      </c>
      <c r="B10" s="164"/>
      <c r="C10" s="148" t="s">
        <v>18</v>
      </c>
      <c r="D10" s="149"/>
      <c r="E10" s="165">
        <v>0</v>
      </c>
      <c r="F10" s="166">
        <v>0</v>
      </c>
      <c r="G10" s="167">
        <v>1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7">
        <v>0</v>
      </c>
      <c r="V10" s="167">
        <v>0</v>
      </c>
      <c r="W10" s="167">
        <v>1</v>
      </c>
      <c r="X10" s="167">
        <v>0</v>
      </c>
      <c r="Y10" s="167">
        <v>0</v>
      </c>
      <c r="Z10" s="167">
        <v>0</v>
      </c>
      <c r="AA10" s="167">
        <v>0</v>
      </c>
      <c r="AB10" s="159">
        <f t="shared" si="0"/>
        <v>2</v>
      </c>
    </row>
    <row r="11" spans="1:28" ht="15.6" thickTop="1" thickBot="1" x14ac:dyDescent="0.35">
      <c r="A11" s="163">
        <v>7</v>
      </c>
      <c r="B11" s="164"/>
      <c r="C11" s="148" t="s">
        <v>19</v>
      </c>
      <c r="D11" s="149"/>
      <c r="E11" s="169">
        <v>0</v>
      </c>
      <c r="F11" s="170">
        <v>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1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59">
        <f t="shared" si="0"/>
        <v>1</v>
      </c>
    </row>
    <row r="12" spans="1:28" ht="15.6" thickTop="1" thickBot="1" x14ac:dyDescent="0.35">
      <c r="A12" s="163">
        <v>8</v>
      </c>
      <c r="B12" s="164"/>
      <c r="C12" s="148" t="s">
        <v>20</v>
      </c>
      <c r="D12" s="149"/>
      <c r="E12" s="173">
        <f>IF((E8+E9+E10+E11)&gt;E35,0,(+E35-E8-E9-E10-E11))</f>
        <v>13</v>
      </c>
      <c r="F12" s="174">
        <f>IF((F8+F9+F10+F11)&gt;F35,0,(+F35-F8-F9-F10-F11))</f>
        <v>0</v>
      </c>
      <c r="G12" s="174">
        <f t="shared" ref="G12:AA12" si="1">IF((G8+G9+G10+G11)&gt;G35,0,(+G35-G8-G9-G10-G11))</f>
        <v>0</v>
      </c>
      <c r="H12" s="174">
        <f t="shared" si="1"/>
        <v>4</v>
      </c>
      <c r="I12" s="174">
        <f t="shared" si="1"/>
        <v>0</v>
      </c>
      <c r="J12" s="174">
        <f t="shared" si="1"/>
        <v>1</v>
      </c>
      <c r="K12" s="174">
        <f t="shared" si="1"/>
        <v>0</v>
      </c>
      <c r="L12" s="174">
        <f t="shared" si="1"/>
        <v>3</v>
      </c>
      <c r="M12" s="174">
        <f t="shared" si="1"/>
        <v>0</v>
      </c>
      <c r="N12" s="174">
        <f t="shared" si="1"/>
        <v>8</v>
      </c>
      <c r="O12" s="174">
        <f>IF((O8+O9+O10+O11)&gt;O35,0,(+O35-O8-O9-O10-O11))</f>
        <v>5</v>
      </c>
      <c r="P12" s="174">
        <f t="shared" si="1"/>
        <v>0</v>
      </c>
      <c r="Q12" s="174">
        <f t="shared" si="1"/>
        <v>0</v>
      </c>
      <c r="R12" s="174">
        <f t="shared" si="1"/>
        <v>0</v>
      </c>
      <c r="S12" s="174">
        <f t="shared" si="1"/>
        <v>7</v>
      </c>
      <c r="T12" s="174">
        <f>IF((T8+T9+T10+T11)&gt;T35,0,(+T35-T8-T9-T10-T11))</f>
        <v>0</v>
      </c>
      <c r="U12" s="174">
        <f t="shared" si="1"/>
        <v>19</v>
      </c>
      <c r="V12" s="174">
        <v>0</v>
      </c>
      <c r="W12" s="174">
        <f t="shared" si="1"/>
        <v>17</v>
      </c>
      <c r="X12" s="174">
        <f>IF((X8+X9+X10+X11)&gt;X35,0,(+X35-X8-X9-X10-X11))</f>
        <v>4</v>
      </c>
      <c r="Y12" s="174">
        <f>IF((Y8+Y9+Y10+Y11)&gt;Y35,0,(+Y35-Y8-Y9-Y10-Y11))</f>
        <v>1</v>
      </c>
      <c r="Z12" s="174">
        <f t="shared" si="1"/>
        <v>9</v>
      </c>
      <c r="AA12" s="174">
        <f t="shared" si="1"/>
        <v>0</v>
      </c>
      <c r="AB12" s="175">
        <f t="shared" si="0"/>
        <v>91</v>
      </c>
    </row>
    <row r="13" spans="1:28" ht="15.6" thickTop="1" thickBot="1" x14ac:dyDescent="0.35">
      <c r="A13" s="163">
        <v>9</v>
      </c>
      <c r="B13" s="164"/>
      <c r="C13" s="148" t="s">
        <v>21</v>
      </c>
      <c r="D13" s="149"/>
      <c r="E13" s="176">
        <f>E8+E9</f>
        <v>0</v>
      </c>
      <c r="F13" s="177">
        <f t="shared" ref="F13:AA13" si="2">F8+F9</f>
        <v>0</v>
      </c>
      <c r="G13" s="177">
        <f t="shared" si="2"/>
        <v>35</v>
      </c>
      <c r="H13" s="177">
        <f>H8+H9</f>
        <v>0</v>
      </c>
      <c r="I13" s="177">
        <f t="shared" si="2"/>
        <v>0</v>
      </c>
      <c r="J13" s="177">
        <f>J8+J9</f>
        <v>0</v>
      </c>
      <c r="K13" s="177">
        <f>K8+K9</f>
        <v>0</v>
      </c>
      <c r="L13" s="177">
        <f t="shared" si="2"/>
        <v>0</v>
      </c>
      <c r="M13" s="177">
        <f>M8+M9</f>
        <v>8</v>
      </c>
      <c r="N13" s="177">
        <f>N8+N9</f>
        <v>2</v>
      </c>
      <c r="O13" s="177">
        <f>O8+O9</f>
        <v>0</v>
      </c>
      <c r="P13" s="177">
        <f>P8+P9</f>
        <v>1</v>
      </c>
      <c r="Q13" s="177">
        <f t="shared" si="2"/>
        <v>0</v>
      </c>
      <c r="R13" s="177">
        <f t="shared" si="2"/>
        <v>0</v>
      </c>
      <c r="S13" s="177">
        <f t="shared" si="2"/>
        <v>0</v>
      </c>
      <c r="T13" s="177">
        <f>T8+T9</f>
        <v>0</v>
      </c>
      <c r="U13" s="177">
        <f t="shared" si="2"/>
        <v>0</v>
      </c>
      <c r="V13" s="177">
        <f>V8+V9</f>
        <v>0</v>
      </c>
      <c r="W13" s="177">
        <f t="shared" si="2"/>
        <v>0</v>
      </c>
      <c r="X13" s="177">
        <f>X8+X9</f>
        <v>0</v>
      </c>
      <c r="Y13" s="177">
        <f>Y8+Y9</f>
        <v>0</v>
      </c>
      <c r="Z13" s="177">
        <f t="shared" si="2"/>
        <v>0</v>
      </c>
      <c r="AA13" s="177">
        <f t="shared" si="2"/>
        <v>0</v>
      </c>
      <c r="AB13" s="178">
        <f t="shared" si="0"/>
        <v>46</v>
      </c>
    </row>
    <row r="14" spans="1:28" ht="15.6" thickTop="1" thickBot="1" x14ac:dyDescent="0.35">
      <c r="A14" s="163">
        <v>10</v>
      </c>
      <c r="B14" s="164"/>
      <c r="C14" s="148" t="s">
        <v>22</v>
      </c>
      <c r="D14" s="149"/>
      <c r="E14" s="179">
        <f>E10+E11</f>
        <v>0</v>
      </c>
      <c r="F14" s="180">
        <f t="shared" ref="F14:AA14" si="3">F10+F11</f>
        <v>0</v>
      </c>
      <c r="G14" s="180">
        <f t="shared" si="3"/>
        <v>1</v>
      </c>
      <c r="H14" s="180">
        <f>H10+H11</f>
        <v>0</v>
      </c>
      <c r="I14" s="180">
        <f t="shared" si="3"/>
        <v>0</v>
      </c>
      <c r="J14" s="180">
        <f t="shared" si="3"/>
        <v>0</v>
      </c>
      <c r="K14" s="180">
        <f t="shared" si="3"/>
        <v>0</v>
      </c>
      <c r="L14" s="180">
        <f t="shared" si="3"/>
        <v>0</v>
      </c>
      <c r="M14" s="180">
        <f>M10+M11</f>
        <v>0</v>
      </c>
      <c r="N14" s="180">
        <f>N10+N11</f>
        <v>0</v>
      </c>
      <c r="O14" s="180">
        <f>O10+O11</f>
        <v>1</v>
      </c>
      <c r="P14" s="180">
        <f>P10+P11</f>
        <v>0</v>
      </c>
      <c r="Q14" s="180">
        <f t="shared" si="3"/>
        <v>0</v>
      </c>
      <c r="R14" s="180">
        <f t="shared" si="3"/>
        <v>0</v>
      </c>
      <c r="S14" s="180">
        <f t="shared" si="3"/>
        <v>0</v>
      </c>
      <c r="T14" s="180">
        <f>T10+T11</f>
        <v>0</v>
      </c>
      <c r="U14" s="180">
        <f t="shared" si="3"/>
        <v>0</v>
      </c>
      <c r="V14" s="180">
        <f>V10+V11</f>
        <v>0</v>
      </c>
      <c r="W14" s="180">
        <f t="shared" si="3"/>
        <v>1</v>
      </c>
      <c r="X14" s="180">
        <f>X10+X11</f>
        <v>0</v>
      </c>
      <c r="Y14" s="180">
        <f>Y10+Y11</f>
        <v>0</v>
      </c>
      <c r="Z14" s="180">
        <f t="shared" si="3"/>
        <v>0</v>
      </c>
      <c r="AA14" s="180">
        <f t="shared" si="3"/>
        <v>0</v>
      </c>
      <c r="AB14" s="181">
        <f t="shared" si="0"/>
        <v>3</v>
      </c>
    </row>
    <row r="15" spans="1:28" ht="15.6" thickTop="1" thickBot="1" x14ac:dyDescent="0.35">
      <c r="A15" s="163">
        <v>11</v>
      </c>
      <c r="B15" s="182"/>
      <c r="C15" s="183" t="s">
        <v>23</v>
      </c>
      <c r="D15" s="184"/>
      <c r="E15" s="185">
        <f>IF((E8+E9+E10+E11)&gt;E35,(E8+E9+E10+E11),E35)</f>
        <v>13</v>
      </c>
      <c r="F15" s="186">
        <f>IF((F8+F9+F10+F11)&gt;F35,(F8+F9+F10+F11),F35)</f>
        <v>0</v>
      </c>
      <c r="G15" s="186">
        <f t="shared" ref="G15:AA15" si="4">IF((G8+G9+G10+G11)&gt;G35,(G8+G9+G10+G11),G35)</f>
        <v>36</v>
      </c>
      <c r="H15" s="186">
        <f t="shared" si="4"/>
        <v>4</v>
      </c>
      <c r="I15" s="186">
        <f t="shared" si="4"/>
        <v>0</v>
      </c>
      <c r="J15" s="186">
        <f t="shared" si="4"/>
        <v>1</v>
      </c>
      <c r="K15" s="186">
        <f t="shared" si="4"/>
        <v>0</v>
      </c>
      <c r="L15" s="186">
        <f t="shared" si="4"/>
        <v>3</v>
      </c>
      <c r="M15" s="186">
        <f t="shared" si="4"/>
        <v>8</v>
      </c>
      <c r="N15" s="186">
        <f t="shared" si="4"/>
        <v>10</v>
      </c>
      <c r="O15" s="186">
        <f>IF((O8+O9+O10+O11)&gt;O35,(O8+O9+O10+O11),O35)</f>
        <v>6</v>
      </c>
      <c r="P15" s="186">
        <f t="shared" si="4"/>
        <v>1</v>
      </c>
      <c r="Q15" s="186">
        <f t="shared" si="4"/>
        <v>0</v>
      </c>
      <c r="R15" s="186">
        <f t="shared" si="4"/>
        <v>0</v>
      </c>
      <c r="S15" s="186">
        <f t="shared" si="4"/>
        <v>7</v>
      </c>
      <c r="T15" s="186">
        <f>IF((T8+T9+T10+T11)&gt;T35,(T8+T9+T10+T11),T35)</f>
        <v>0</v>
      </c>
      <c r="U15" s="186">
        <f t="shared" si="4"/>
        <v>19</v>
      </c>
      <c r="V15" s="186">
        <f t="shared" si="4"/>
        <v>2</v>
      </c>
      <c r="W15" s="186">
        <f t="shared" si="4"/>
        <v>18</v>
      </c>
      <c r="X15" s="186">
        <f>IF((X8+X9+X10+X11)&gt;X35,(X8+X9+X10+X11),X35)</f>
        <v>4</v>
      </c>
      <c r="Y15" s="186">
        <f t="shared" si="4"/>
        <v>1</v>
      </c>
      <c r="Z15" s="186">
        <f t="shared" si="4"/>
        <v>9</v>
      </c>
      <c r="AA15" s="186">
        <f t="shared" si="4"/>
        <v>0</v>
      </c>
      <c r="AB15" s="187">
        <f t="shared" si="0"/>
        <v>142</v>
      </c>
    </row>
    <row r="16" spans="1:28" ht="15.6" thickTop="1" thickBot="1" x14ac:dyDescent="0.35">
      <c r="A16" s="188">
        <v>12</v>
      </c>
      <c r="B16" s="161" t="s">
        <v>24</v>
      </c>
      <c r="C16" s="189" t="s">
        <v>25</v>
      </c>
      <c r="D16" s="190" t="s">
        <v>26</v>
      </c>
      <c r="E16" s="150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78">
        <f t="shared" si="0"/>
        <v>0</v>
      </c>
    </row>
    <row r="17" spans="1:28" ht="15.6" thickTop="1" thickBot="1" x14ac:dyDescent="0.35">
      <c r="A17" s="191"/>
      <c r="B17" s="164"/>
      <c r="C17" s="192"/>
      <c r="D17" s="190" t="s">
        <v>27</v>
      </c>
      <c r="E17" s="165">
        <v>0</v>
      </c>
      <c r="F17" s="166">
        <v>0</v>
      </c>
      <c r="G17" s="166">
        <v>0</v>
      </c>
      <c r="H17" s="166">
        <v>0</v>
      </c>
      <c r="I17" s="166">
        <v>0</v>
      </c>
      <c r="J17" s="166">
        <v>0</v>
      </c>
      <c r="K17" s="166">
        <v>0</v>
      </c>
      <c r="L17" s="166">
        <v>0</v>
      </c>
      <c r="M17" s="166">
        <v>0</v>
      </c>
      <c r="N17" s="166">
        <v>0</v>
      </c>
      <c r="O17" s="166">
        <v>0</v>
      </c>
      <c r="P17" s="166">
        <v>0</v>
      </c>
      <c r="Q17" s="166">
        <v>0</v>
      </c>
      <c r="R17" s="166">
        <v>0</v>
      </c>
      <c r="S17" s="151">
        <v>0</v>
      </c>
      <c r="T17" s="151">
        <v>0</v>
      </c>
      <c r="U17" s="166">
        <v>0</v>
      </c>
      <c r="V17" s="166">
        <v>0</v>
      </c>
      <c r="W17" s="166">
        <v>0</v>
      </c>
      <c r="X17" s="166">
        <v>0</v>
      </c>
      <c r="Y17" s="151">
        <v>0</v>
      </c>
      <c r="Z17" s="166">
        <v>0</v>
      </c>
      <c r="AA17" s="166">
        <v>0</v>
      </c>
      <c r="AB17" s="193">
        <f t="shared" si="0"/>
        <v>0</v>
      </c>
    </row>
    <row r="18" spans="1:28" ht="15.6" thickTop="1" thickBot="1" x14ac:dyDescent="0.35">
      <c r="A18" s="194">
        <v>13</v>
      </c>
      <c r="B18" s="164"/>
      <c r="C18" s="189" t="s">
        <v>28</v>
      </c>
      <c r="D18" s="190" t="s">
        <v>26</v>
      </c>
      <c r="E18" s="165">
        <v>0</v>
      </c>
      <c r="F18" s="166">
        <v>1</v>
      </c>
      <c r="G18" s="167">
        <v>64</v>
      </c>
      <c r="H18" s="167">
        <v>3</v>
      </c>
      <c r="I18" s="167">
        <v>0</v>
      </c>
      <c r="J18" s="167">
        <v>3</v>
      </c>
      <c r="K18" s="166">
        <v>13</v>
      </c>
      <c r="L18" s="167">
        <v>1</v>
      </c>
      <c r="M18" s="167">
        <v>166</v>
      </c>
      <c r="N18" s="167">
        <v>15</v>
      </c>
      <c r="O18" s="167">
        <v>0</v>
      </c>
      <c r="P18" s="167">
        <v>1</v>
      </c>
      <c r="Q18" s="166">
        <v>0</v>
      </c>
      <c r="R18" s="167">
        <v>16</v>
      </c>
      <c r="S18" s="151">
        <v>0</v>
      </c>
      <c r="T18" s="151">
        <v>0</v>
      </c>
      <c r="U18" s="167">
        <v>5</v>
      </c>
      <c r="V18" s="166">
        <v>6</v>
      </c>
      <c r="W18" s="166">
        <v>0</v>
      </c>
      <c r="X18" s="166">
        <v>0</v>
      </c>
      <c r="Y18" s="151">
        <v>0</v>
      </c>
      <c r="Z18" s="167">
        <v>2</v>
      </c>
      <c r="AA18" s="167">
        <v>0</v>
      </c>
      <c r="AB18" s="193">
        <f t="shared" si="0"/>
        <v>296</v>
      </c>
    </row>
    <row r="19" spans="1:28" ht="15.6" thickTop="1" thickBot="1" x14ac:dyDescent="0.35">
      <c r="A19" s="191"/>
      <c r="B19" s="164"/>
      <c r="C19" s="192"/>
      <c r="D19" s="190" t="s">
        <v>27</v>
      </c>
      <c r="E19" s="165">
        <v>0</v>
      </c>
      <c r="F19" s="166">
        <f>1*60+10</f>
        <v>70</v>
      </c>
      <c r="G19" s="167">
        <f>57*60+9</f>
        <v>3429</v>
      </c>
      <c r="H19" s="167">
        <v>60</v>
      </c>
      <c r="I19" s="167">
        <v>0</v>
      </c>
      <c r="J19" s="167">
        <f>2*60+38</f>
        <v>158</v>
      </c>
      <c r="K19" s="166">
        <f>9*60+37</f>
        <v>577</v>
      </c>
      <c r="L19" s="167">
        <v>60</v>
      </c>
      <c r="M19" s="167">
        <v>7460</v>
      </c>
      <c r="N19" s="167">
        <f>12*60+31</f>
        <v>751</v>
      </c>
      <c r="O19" s="167">
        <v>0</v>
      </c>
      <c r="P19" s="167">
        <v>60</v>
      </c>
      <c r="Q19" s="166">
        <v>0</v>
      </c>
      <c r="R19" s="167">
        <v>514</v>
      </c>
      <c r="S19" s="151">
        <v>0</v>
      </c>
      <c r="T19" s="151">
        <v>0</v>
      </c>
      <c r="U19" s="167">
        <v>172</v>
      </c>
      <c r="V19" s="166">
        <f>72+60</f>
        <v>132</v>
      </c>
      <c r="W19" s="166">
        <v>0</v>
      </c>
      <c r="X19" s="166">
        <v>0</v>
      </c>
      <c r="Y19" s="151">
        <v>0</v>
      </c>
      <c r="Z19" s="167">
        <v>60</v>
      </c>
      <c r="AA19" s="167">
        <v>0</v>
      </c>
      <c r="AB19" s="193">
        <f t="shared" si="0"/>
        <v>13503</v>
      </c>
    </row>
    <row r="20" spans="1:28" ht="15.6" thickTop="1" thickBot="1" x14ac:dyDescent="0.35">
      <c r="A20" s="194">
        <v>14</v>
      </c>
      <c r="B20" s="164"/>
      <c r="C20" s="189" t="s">
        <v>18</v>
      </c>
      <c r="D20" s="190" t="s">
        <v>26</v>
      </c>
      <c r="E20" s="165">
        <v>0</v>
      </c>
      <c r="F20" s="166">
        <v>0</v>
      </c>
      <c r="G20" s="167">
        <v>11</v>
      </c>
      <c r="H20" s="167">
        <v>0</v>
      </c>
      <c r="I20" s="167">
        <v>2</v>
      </c>
      <c r="J20" s="167">
        <v>0</v>
      </c>
      <c r="K20" s="166">
        <v>0</v>
      </c>
      <c r="L20" s="167">
        <v>1</v>
      </c>
      <c r="M20" s="167">
        <v>13</v>
      </c>
      <c r="N20" s="167">
        <v>1</v>
      </c>
      <c r="O20" s="167">
        <v>0</v>
      </c>
      <c r="P20" s="167">
        <v>0</v>
      </c>
      <c r="Q20" s="166">
        <v>0</v>
      </c>
      <c r="R20" s="167">
        <v>0</v>
      </c>
      <c r="S20" s="151">
        <v>0</v>
      </c>
      <c r="T20" s="151">
        <v>0</v>
      </c>
      <c r="U20" s="167">
        <v>6</v>
      </c>
      <c r="V20" s="166">
        <v>1</v>
      </c>
      <c r="W20" s="166">
        <v>0</v>
      </c>
      <c r="X20" s="166">
        <v>0</v>
      </c>
      <c r="Y20" s="151">
        <v>0</v>
      </c>
      <c r="Z20" s="167">
        <v>3</v>
      </c>
      <c r="AA20" s="167">
        <v>0</v>
      </c>
      <c r="AB20" s="193">
        <f t="shared" si="0"/>
        <v>38</v>
      </c>
    </row>
    <row r="21" spans="1:28" ht="15.6" thickTop="1" thickBot="1" x14ac:dyDescent="0.35">
      <c r="A21" s="191"/>
      <c r="B21" s="164"/>
      <c r="C21" s="192"/>
      <c r="D21" s="190" t="s">
        <v>27</v>
      </c>
      <c r="E21" s="165">
        <v>0</v>
      </c>
      <c r="F21" s="166">
        <v>0</v>
      </c>
      <c r="G21" s="167">
        <f>13*60+13</f>
        <v>793</v>
      </c>
      <c r="H21" s="167">
        <v>0</v>
      </c>
      <c r="I21" s="167">
        <v>80</v>
      </c>
      <c r="J21" s="167">
        <v>0</v>
      </c>
      <c r="K21" s="166">
        <v>0</v>
      </c>
      <c r="L21" s="167">
        <v>103</v>
      </c>
      <c r="M21" s="167">
        <v>1112</v>
      </c>
      <c r="N21" s="167">
        <v>60</v>
      </c>
      <c r="O21" s="167">
        <v>0</v>
      </c>
      <c r="P21" s="167">
        <v>0</v>
      </c>
      <c r="Q21" s="166">
        <v>0</v>
      </c>
      <c r="R21" s="167">
        <v>0</v>
      </c>
      <c r="S21" s="151">
        <v>0</v>
      </c>
      <c r="T21" s="151">
        <v>0</v>
      </c>
      <c r="U21" s="167">
        <f>7*60+15</f>
        <v>435</v>
      </c>
      <c r="V21" s="166">
        <v>60</v>
      </c>
      <c r="W21" s="166">
        <v>0</v>
      </c>
      <c r="X21" s="166">
        <v>0</v>
      </c>
      <c r="Y21" s="151">
        <v>0</v>
      </c>
      <c r="Z21" s="167">
        <v>199</v>
      </c>
      <c r="AA21" s="167">
        <v>0</v>
      </c>
      <c r="AB21" s="193">
        <f t="shared" si="0"/>
        <v>2842</v>
      </c>
    </row>
    <row r="22" spans="1:28" ht="15.6" thickTop="1" thickBot="1" x14ac:dyDescent="0.35">
      <c r="A22" s="194">
        <v>15</v>
      </c>
      <c r="B22" s="164"/>
      <c r="C22" s="189" t="s">
        <v>19</v>
      </c>
      <c r="D22" s="190" t="s">
        <v>26</v>
      </c>
      <c r="E22" s="165">
        <v>0</v>
      </c>
      <c r="F22" s="166">
        <v>8</v>
      </c>
      <c r="G22" s="167">
        <v>19</v>
      </c>
      <c r="H22" s="167">
        <v>7</v>
      </c>
      <c r="I22" s="167">
        <v>1</v>
      </c>
      <c r="J22" s="167">
        <v>3</v>
      </c>
      <c r="K22" s="166">
        <v>0</v>
      </c>
      <c r="L22" s="167">
        <v>33</v>
      </c>
      <c r="M22" s="167">
        <v>41</v>
      </c>
      <c r="N22" s="167">
        <v>11</v>
      </c>
      <c r="O22" s="167">
        <v>26</v>
      </c>
      <c r="P22" s="167">
        <v>9</v>
      </c>
      <c r="Q22" s="166">
        <v>1</v>
      </c>
      <c r="R22" s="167">
        <v>4</v>
      </c>
      <c r="S22" s="151">
        <v>0</v>
      </c>
      <c r="T22" s="151">
        <v>0</v>
      </c>
      <c r="U22" s="167">
        <v>3</v>
      </c>
      <c r="V22" s="166">
        <v>14</v>
      </c>
      <c r="W22" s="167">
        <v>12</v>
      </c>
      <c r="X22" s="167">
        <v>0</v>
      </c>
      <c r="Y22" s="151">
        <v>0</v>
      </c>
      <c r="Z22" s="167">
        <v>8</v>
      </c>
      <c r="AA22" s="167">
        <v>5</v>
      </c>
      <c r="AB22" s="193">
        <f t="shared" si="0"/>
        <v>205</v>
      </c>
    </row>
    <row r="23" spans="1:28" ht="15.6" thickTop="1" thickBot="1" x14ac:dyDescent="0.35">
      <c r="A23" s="191"/>
      <c r="B23" s="164"/>
      <c r="C23" s="192"/>
      <c r="D23" s="190" t="s">
        <v>27</v>
      </c>
      <c r="E23" s="169">
        <v>0</v>
      </c>
      <c r="F23" s="170">
        <f>4*60+35</f>
        <v>275</v>
      </c>
      <c r="G23" s="171">
        <f>16*60+55</f>
        <v>1015</v>
      </c>
      <c r="H23" s="171">
        <f>2*60+45</f>
        <v>165</v>
      </c>
      <c r="I23" s="171">
        <v>59</v>
      </c>
      <c r="J23" s="171">
        <f>2*60+14</f>
        <v>134</v>
      </c>
      <c r="K23" s="170"/>
      <c r="L23" s="171">
        <v>3469</v>
      </c>
      <c r="M23" s="171">
        <v>1874</v>
      </c>
      <c r="N23" s="171">
        <f>11*60+98</f>
        <v>758</v>
      </c>
      <c r="O23" s="171">
        <v>3245</v>
      </c>
      <c r="P23" s="171">
        <f>3*60+22</f>
        <v>202</v>
      </c>
      <c r="Q23" s="170">
        <v>60</v>
      </c>
      <c r="R23" s="171">
        <v>105</v>
      </c>
      <c r="S23" s="171">
        <v>0</v>
      </c>
      <c r="T23" s="151">
        <v>0</v>
      </c>
      <c r="U23" s="171">
        <f>1*60+25</f>
        <v>85</v>
      </c>
      <c r="V23" s="170">
        <f>258+73</f>
        <v>331</v>
      </c>
      <c r="W23" s="171">
        <f>141+280</f>
        <v>421</v>
      </c>
      <c r="X23" s="171">
        <v>0</v>
      </c>
      <c r="Y23" s="151">
        <v>0</v>
      </c>
      <c r="Z23" s="171">
        <f>5*60+12</f>
        <v>312</v>
      </c>
      <c r="AA23" s="171">
        <f>7*60+20</f>
        <v>440</v>
      </c>
      <c r="AB23" s="181">
        <f t="shared" si="0"/>
        <v>12950</v>
      </c>
    </row>
    <row r="24" spans="1:28" ht="15.6" thickTop="1" thickBot="1" x14ac:dyDescent="0.35">
      <c r="A24" s="195">
        <v>16</v>
      </c>
      <c r="B24" s="164"/>
      <c r="C24" s="148" t="s">
        <v>20</v>
      </c>
      <c r="D24" s="149"/>
      <c r="E24" s="173">
        <f>IF((E16+E18+E20+E22)&gt;E36,0,(+E36-E16-E18-E20-E22))</f>
        <v>37</v>
      </c>
      <c r="F24" s="174">
        <f t="shared" ref="F24:AA24" si="5">IF((F16+F18+F20+F22)&gt;F36,0,(+F36-F16-F18-F20-F22))</f>
        <v>3</v>
      </c>
      <c r="G24" s="174">
        <f t="shared" si="5"/>
        <v>28</v>
      </c>
      <c r="H24" s="174">
        <f>IF((H16+H18+H20+H22)&gt;H36,0,(+H36-H16-H18-H20-H22))</f>
        <v>4</v>
      </c>
      <c r="I24" s="174">
        <f t="shared" si="5"/>
        <v>0</v>
      </c>
      <c r="J24" s="174">
        <f t="shared" si="5"/>
        <v>1</v>
      </c>
      <c r="K24" s="174">
        <f t="shared" si="5"/>
        <v>0</v>
      </c>
      <c r="L24" s="174">
        <f t="shared" si="5"/>
        <v>17</v>
      </c>
      <c r="M24" s="174">
        <f t="shared" si="5"/>
        <v>16</v>
      </c>
      <c r="N24" s="174">
        <f t="shared" si="5"/>
        <v>0</v>
      </c>
      <c r="O24" s="174">
        <f>IF((O16+O18+O20+O22)&gt;O36,0,(+O36-O16-O18-O20-O22))</f>
        <v>12</v>
      </c>
      <c r="P24" s="174">
        <f>IF((P16+P18+P20+P22)&gt;P36,0,(+P36-P16-P18-P20-P22))</f>
        <v>0</v>
      </c>
      <c r="Q24" s="174">
        <f>IF((Q16+Q18+Q20+Q22)&gt;Q36,0,(+Q36-Q16-Q18-Q20-Q22))</f>
        <v>2</v>
      </c>
      <c r="R24" s="174">
        <f t="shared" si="5"/>
        <v>7</v>
      </c>
      <c r="S24" s="174">
        <f t="shared" si="5"/>
        <v>33</v>
      </c>
      <c r="T24" s="174">
        <f>IF((T16+T18+T20+T22)&gt;T36,0,(+T36-T16-T18-T20-T22))</f>
        <v>3</v>
      </c>
      <c r="U24" s="174">
        <f t="shared" si="5"/>
        <v>3</v>
      </c>
      <c r="V24" s="174">
        <f t="shared" si="5"/>
        <v>0</v>
      </c>
      <c r="W24" s="174">
        <f t="shared" si="5"/>
        <v>0</v>
      </c>
      <c r="X24" s="174">
        <f>IF((X16+X18+X20+X22)&gt;X36,0,(+X36-X16-X18-X20-X22))</f>
        <v>10</v>
      </c>
      <c r="Y24" s="174">
        <f t="shared" si="5"/>
        <v>37</v>
      </c>
      <c r="Z24" s="174">
        <f t="shared" si="5"/>
        <v>21</v>
      </c>
      <c r="AA24" s="174">
        <f t="shared" si="5"/>
        <v>4</v>
      </c>
      <c r="AB24" s="196">
        <f t="shared" si="0"/>
        <v>238</v>
      </c>
    </row>
    <row r="25" spans="1:28" ht="15.6" thickTop="1" thickBot="1" x14ac:dyDescent="0.35">
      <c r="A25" s="194">
        <v>17</v>
      </c>
      <c r="B25" s="164"/>
      <c r="C25" s="197" t="s">
        <v>29</v>
      </c>
      <c r="D25" s="198" t="s">
        <v>30</v>
      </c>
      <c r="E25" s="199">
        <f>IF((E16+E18+E20+E22)&gt;E36,(E16+E18+E20+E22),E36)</f>
        <v>37</v>
      </c>
      <c r="F25" s="200">
        <f t="shared" ref="F25:AA25" si="6">IF((F16+F18+F20+F22)&gt;F36,(F16+F18+F20+F22),F36)</f>
        <v>12</v>
      </c>
      <c r="G25" s="200">
        <f t="shared" si="6"/>
        <v>122</v>
      </c>
      <c r="H25" s="200">
        <f t="shared" si="6"/>
        <v>14</v>
      </c>
      <c r="I25" s="200">
        <f t="shared" si="6"/>
        <v>3</v>
      </c>
      <c r="J25" s="200">
        <f t="shared" si="6"/>
        <v>7</v>
      </c>
      <c r="K25" s="200">
        <f t="shared" si="6"/>
        <v>13</v>
      </c>
      <c r="L25" s="200">
        <f t="shared" si="6"/>
        <v>52</v>
      </c>
      <c r="M25" s="200">
        <f t="shared" si="6"/>
        <v>236</v>
      </c>
      <c r="N25" s="200">
        <f t="shared" si="6"/>
        <v>27</v>
      </c>
      <c r="O25" s="200">
        <f>IF((O16+O18+O20+O22)&gt;O36,(O16+O18+O20+O22),O36)</f>
        <v>38</v>
      </c>
      <c r="P25" s="200">
        <f>IF((P16+P18+P20+P22)&gt;P36,(P16+P18+P20+P22),P36)</f>
        <v>10</v>
      </c>
      <c r="Q25" s="200">
        <f>IF((Q16+Q18+Q20+Q22)&gt;Q36,(Q16+Q18+Q20+Q22),Q36)</f>
        <v>3</v>
      </c>
      <c r="R25" s="200">
        <f t="shared" si="6"/>
        <v>27</v>
      </c>
      <c r="S25" s="200">
        <f t="shared" si="6"/>
        <v>33</v>
      </c>
      <c r="T25" s="200">
        <f>IF((T16+T18+T20+T22)&gt;T36,(T16+T18+T20+T22),T36)</f>
        <v>3</v>
      </c>
      <c r="U25" s="200">
        <f t="shared" si="6"/>
        <v>17</v>
      </c>
      <c r="V25" s="200">
        <f t="shared" si="6"/>
        <v>21</v>
      </c>
      <c r="W25" s="200">
        <f t="shared" si="6"/>
        <v>12</v>
      </c>
      <c r="X25" s="200">
        <f>IF((X16+X18+X20+X22)&gt;X36,(X16+X18+X20+X22),X36)</f>
        <v>10</v>
      </c>
      <c r="Y25" s="200">
        <f t="shared" si="6"/>
        <v>37</v>
      </c>
      <c r="Z25" s="200">
        <f t="shared" si="6"/>
        <v>34</v>
      </c>
      <c r="AA25" s="200">
        <f t="shared" si="6"/>
        <v>9</v>
      </c>
      <c r="AB25" s="201">
        <f t="shared" si="0"/>
        <v>777</v>
      </c>
    </row>
    <row r="26" spans="1:28" ht="15.6" thickTop="1" thickBot="1" x14ac:dyDescent="0.35">
      <c r="A26" s="202"/>
      <c r="B26" s="182"/>
      <c r="C26" s="203"/>
      <c r="D26" s="204" t="s">
        <v>27</v>
      </c>
      <c r="E26" s="173">
        <f>+E17+E19+E21+E23</f>
        <v>0</v>
      </c>
      <c r="F26" s="174">
        <f t="shared" ref="F26:AA26" si="7">+F17+F19+F21+F23</f>
        <v>345</v>
      </c>
      <c r="G26" s="174">
        <f t="shared" si="7"/>
        <v>5237</v>
      </c>
      <c r="H26" s="174">
        <f t="shared" si="7"/>
        <v>225</v>
      </c>
      <c r="I26" s="174">
        <f t="shared" si="7"/>
        <v>139</v>
      </c>
      <c r="J26" s="174">
        <f t="shared" si="7"/>
        <v>292</v>
      </c>
      <c r="K26" s="174">
        <f t="shared" si="7"/>
        <v>577</v>
      </c>
      <c r="L26" s="174">
        <f t="shared" si="7"/>
        <v>3632</v>
      </c>
      <c r="M26" s="174">
        <f t="shared" si="7"/>
        <v>10446</v>
      </c>
      <c r="N26" s="174">
        <f t="shared" si="7"/>
        <v>1569</v>
      </c>
      <c r="O26" s="174">
        <f>+O17+O19+O21+O23</f>
        <v>3245</v>
      </c>
      <c r="P26" s="174">
        <f>+P17+P19+P21+P23</f>
        <v>262</v>
      </c>
      <c r="Q26" s="174">
        <f t="shared" si="7"/>
        <v>60</v>
      </c>
      <c r="R26" s="174">
        <f t="shared" si="7"/>
        <v>619</v>
      </c>
      <c r="S26" s="174">
        <f t="shared" si="7"/>
        <v>0</v>
      </c>
      <c r="T26" s="174">
        <f>+T17+T19+T21+T23</f>
        <v>0</v>
      </c>
      <c r="U26" s="174">
        <f t="shared" si="7"/>
        <v>692</v>
      </c>
      <c r="V26" s="174">
        <f>+V17+V19+W21+V23</f>
        <v>463</v>
      </c>
      <c r="W26" s="174">
        <f>+W17+W19+X21+W23</f>
        <v>421</v>
      </c>
      <c r="X26" s="174">
        <f>+X17+X19+Y21+X23</f>
        <v>0</v>
      </c>
      <c r="Y26" s="174">
        <f t="shared" si="7"/>
        <v>0</v>
      </c>
      <c r="Z26" s="174">
        <f t="shared" si="7"/>
        <v>571</v>
      </c>
      <c r="AA26" s="174">
        <f t="shared" si="7"/>
        <v>440</v>
      </c>
      <c r="AB26" s="196">
        <f t="shared" si="0"/>
        <v>29235</v>
      </c>
    </row>
    <row r="27" spans="1:28" ht="15" thickTop="1" x14ac:dyDescent="0.3">
      <c r="A27" s="205">
        <v>18</v>
      </c>
      <c r="B27" s="206" t="s">
        <v>31</v>
      </c>
      <c r="C27" s="207"/>
      <c r="D27" s="207"/>
      <c r="E27" s="208">
        <f t="shared" ref="E27:Y27" si="8">E5+E6+E7</f>
        <v>156</v>
      </c>
      <c r="F27" s="209">
        <f t="shared" si="8"/>
        <v>13</v>
      </c>
      <c r="G27" s="209">
        <f t="shared" si="8"/>
        <v>714</v>
      </c>
      <c r="H27" s="209">
        <f t="shared" si="8"/>
        <v>42</v>
      </c>
      <c r="I27" s="209">
        <f t="shared" si="8"/>
        <v>31</v>
      </c>
      <c r="J27" s="209">
        <f t="shared" si="8"/>
        <v>18</v>
      </c>
      <c r="K27" s="209">
        <f t="shared" si="8"/>
        <v>31</v>
      </c>
      <c r="L27" s="209">
        <f t="shared" si="8"/>
        <v>154</v>
      </c>
      <c r="M27" s="209">
        <f t="shared" si="8"/>
        <v>730</v>
      </c>
      <c r="N27" s="209">
        <f t="shared" si="8"/>
        <v>93</v>
      </c>
      <c r="O27" s="209">
        <f>O5+O6+O7</f>
        <v>57</v>
      </c>
      <c r="P27" s="209">
        <f t="shared" si="8"/>
        <v>55</v>
      </c>
      <c r="Q27" s="209">
        <f t="shared" si="8"/>
        <v>5</v>
      </c>
      <c r="R27" s="209">
        <f t="shared" si="8"/>
        <v>62</v>
      </c>
      <c r="S27" s="209">
        <f t="shared" si="8"/>
        <v>58</v>
      </c>
      <c r="T27" s="209">
        <f>T5+T6+T7</f>
        <v>31</v>
      </c>
      <c r="U27" s="209">
        <f t="shared" si="8"/>
        <v>93</v>
      </c>
      <c r="V27" s="209">
        <f t="shared" si="8"/>
        <v>42</v>
      </c>
      <c r="W27" s="209">
        <f t="shared" si="8"/>
        <v>93</v>
      </c>
      <c r="X27" s="209">
        <f>X5+X6+X7</f>
        <v>23</v>
      </c>
      <c r="Y27" s="209">
        <f t="shared" si="8"/>
        <v>83</v>
      </c>
      <c r="Z27" s="209">
        <f>Z5+Z6+Z7</f>
        <v>76</v>
      </c>
      <c r="AA27" s="209">
        <f>AA5+AA6+AA7</f>
        <v>13</v>
      </c>
      <c r="AB27" s="178">
        <f t="shared" si="0"/>
        <v>2673</v>
      </c>
    </row>
    <row r="28" spans="1:28" ht="15" thickBot="1" x14ac:dyDescent="0.35">
      <c r="A28" s="210">
        <v>19</v>
      </c>
      <c r="B28" s="211" t="s">
        <v>32</v>
      </c>
      <c r="C28" s="212"/>
      <c r="D28" s="212"/>
      <c r="E28" s="213">
        <f t="shared" ref="E28:Y28" si="9">E27-E8</f>
        <v>156</v>
      </c>
      <c r="F28" s="214">
        <f t="shared" si="9"/>
        <v>13</v>
      </c>
      <c r="G28" s="214">
        <f t="shared" si="9"/>
        <v>679</v>
      </c>
      <c r="H28" s="214">
        <f t="shared" si="9"/>
        <v>42</v>
      </c>
      <c r="I28" s="214">
        <f t="shared" si="9"/>
        <v>31</v>
      </c>
      <c r="J28" s="214">
        <f t="shared" si="9"/>
        <v>18</v>
      </c>
      <c r="K28" s="214">
        <f t="shared" si="9"/>
        <v>31</v>
      </c>
      <c r="L28" s="214">
        <f t="shared" si="9"/>
        <v>154</v>
      </c>
      <c r="M28" s="214">
        <f t="shared" si="9"/>
        <v>726</v>
      </c>
      <c r="N28" s="214">
        <f t="shared" si="9"/>
        <v>93</v>
      </c>
      <c r="O28" s="214">
        <f>O27-O8</f>
        <v>57</v>
      </c>
      <c r="P28" s="214">
        <f t="shared" si="9"/>
        <v>54</v>
      </c>
      <c r="Q28" s="214">
        <f t="shared" si="9"/>
        <v>5</v>
      </c>
      <c r="R28" s="214">
        <f t="shared" si="9"/>
        <v>62</v>
      </c>
      <c r="S28" s="214">
        <f t="shared" si="9"/>
        <v>58</v>
      </c>
      <c r="T28" s="214">
        <f>T27-T8</f>
        <v>31</v>
      </c>
      <c r="U28" s="214">
        <f t="shared" si="9"/>
        <v>93</v>
      </c>
      <c r="V28" s="214">
        <f t="shared" si="9"/>
        <v>42</v>
      </c>
      <c r="W28" s="214">
        <f t="shared" si="9"/>
        <v>93</v>
      </c>
      <c r="X28" s="214">
        <f>X27-X8</f>
        <v>23</v>
      </c>
      <c r="Y28" s="214">
        <f t="shared" si="9"/>
        <v>83</v>
      </c>
      <c r="Z28" s="214">
        <f>Z27-Z8</f>
        <v>76</v>
      </c>
      <c r="AA28" s="214">
        <f>AA27-AA8</f>
        <v>13</v>
      </c>
      <c r="AB28" s="193">
        <f t="shared" si="0"/>
        <v>2633</v>
      </c>
    </row>
    <row r="29" spans="1:28" ht="15" thickBot="1" x14ac:dyDescent="0.35">
      <c r="A29" s="215">
        <v>20</v>
      </c>
      <c r="B29" s="216" t="s">
        <v>33</v>
      </c>
      <c r="C29" s="217"/>
      <c r="D29" s="217"/>
      <c r="E29" s="218">
        <f>+E28-E9-E10-E11-E12-E16-E18-E20-E22-E24</f>
        <v>106</v>
      </c>
      <c r="F29" s="219">
        <f t="shared" ref="F29:AA29" si="10">+F28-F9-F10-F11-F12-F16-F18-F20-F22-F24</f>
        <v>1</v>
      </c>
      <c r="G29" s="219">
        <f t="shared" si="10"/>
        <v>556</v>
      </c>
      <c r="H29" s="219">
        <f t="shared" si="10"/>
        <v>24</v>
      </c>
      <c r="I29" s="219">
        <f t="shared" si="10"/>
        <v>28</v>
      </c>
      <c r="J29" s="219">
        <f t="shared" si="10"/>
        <v>10</v>
      </c>
      <c r="K29" s="219">
        <f t="shared" si="10"/>
        <v>18</v>
      </c>
      <c r="L29" s="219">
        <f t="shared" si="10"/>
        <v>99</v>
      </c>
      <c r="M29" s="219">
        <f t="shared" si="10"/>
        <v>486</v>
      </c>
      <c r="N29" s="219">
        <f t="shared" si="10"/>
        <v>56</v>
      </c>
      <c r="O29" s="219">
        <f>+O28-O9-O10-O11-O12-O16-O18-O20-O22-O24</f>
        <v>13</v>
      </c>
      <c r="P29" s="219">
        <f>+P28-P9-P10-P11-P12-P16-P18-P20-P22-P24</f>
        <v>44</v>
      </c>
      <c r="Q29" s="219">
        <f t="shared" si="10"/>
        <v>2</v>
      </c>
      <c r="R29" s="219">
        <f t="shared" si="10"/>
        <v>35</v>
      </c>
      <c r="S29" s="219">
        <f t="shared" si="10"/>
        <v>18</v>
      </c>
      <c r="T29" s="219">
        <f>+T28-T9-T10-T11-T12-T16-T18-T20-T22-T24</f>
        <v>28</v>
      </c>
      <c r="U29" s="219">
        <f t="shared" si="10"/>
        <v>57</v>
      </c>
      <c r="V29" s="219">
        <f t="shared" si="10"/>
        <v>21</v>
      </c>
      <c r="W29" s="219">
        <f t="shared" si="10"/>
        <v>63</v>
      </c>
      <c r="X29" s="219">
        <f>+X28-X9-X10-X11-X12-X16-X18-X20-X22-X24</f>
        <v>9</v>
      </c>
      <c r="Y29" s="219">
        <f t="shared" si="10"/>
        <v>45</v>
      </c>
      <c r="Z29" s="219">
        <f t="shared" si="10"/>
        <v>33</v>
      </c>
      <c r="AA29" s="219">
        <f t="shared" si="10"/>
        <v>4</v>
      </c>
      <c r="AB29" s="181">
        <f t="shared" si="0"/>
        <v>1756</v>
      </c>
    </row>
    <row r="30" spans="1:28" ht="24.6" customHeight="1" thickTop="1" thickBot="1" x14ac:dyDescent="0.35">
      <c r="A30" s="220">
        <v>21</v>
      </c>
      <c r="B30" s="221" t="s">
        <v>34</v>
      </c>
      <c r="C30" s="222"/>
      <c r="D30" s="222"/>
      <c r="E30" s="223">
        <f>IF(E28=0,0,(IF(E29=0,0,((E29-E6-E7)/(E5-E9-E16-E18)))))</f>
        <v>0.67948717948717952</v>
      </c>
      <c r="F30" s="223">
        <f>IF(F28=0,0,(IF(F29=0,0,((F29-F6-F7)/(F5-F9-F16-F18)))))</f>
        <v>8.3333333333333329E-2</v>
      </c>
      <c r="G30" s="224">
        <f t="shared" ref="G30:AA30" si="11">IF(G28=0,0,(IF(G29=0,0,((G29-G6-G7)/(G5-G9-G16-G18)))))</f>
        <v>0.85538461538461541</v>
      </c>
      <c r="H30" s="224">
        <f t="shared" si="11"/>
        <v>0.61538461538461542</v>
      </c>
      <c r="I30" s="224">
        <f t="shared" si="11"/>
        <v>0.90322580645161288</v>
      </c>
      <c r="J30" s="224">
        <f t="shared" si="11"/>
        <v>0.66666666666666663</v>
      </c>
      <c r="K30" s="224">
        <f t="shared" si="11"/>
        <v>1</v>
      </c>
      <c r="L30" s="224">
        <f t="shared" si="11"/>
        <v>0.6470588235294118</v>
      </c>
      <c r="M30" s="224">
        <f t="shared" si="11"/>
        <v>0.8676207513416816</v>
      </c>
      <c r="N30" s="224">
        <f t="shared" si="11"/>
        <v>0.73684210526315785</v>
      </c>
      <c r="O30" s="224">
        <f>IF(O28=0,0,(IF(O29=0,0,((O29-O6-O7)/(O5-O9-O16-O18)))))</f>
        <v>0.22807017543859648</v>
      </c>
      <c r="P30" s="224">
        <f>IF(P28=0,0,(IF(P29=0,0,((P29-P6-P7)/(P5-P9-P16-P18)))))</f>
        <v>0.81481481481481477</v>
      </c>
      <c r="Q30" s="224">
        <f t="shared" si="11"/>
        <v>0.4</v>
      </c>
      <c r="R30" s="224">
        <f t="shared" si="11"/>
        <v>0.76086956521739135</v>
      </c>
      <c r="S30" s="224">
        <f t="shared" si="11"/>
        <v>0.31034482758620691</v>
      </c>
      <c r="T30" s="224">
        <f>IF(T28=0,0,(IF(T29=0,0,((T29-T6-T7)/(T5-T9-T16-T18)))))</f>
        <v>0.90322580645161288</v>
      </c>
      <c r="U30" s="224">
        <f t="shared" si="11"/>
        <v>0.64772727272727271</v>
      </c>
      <c r="V30" s="224">
        <f t="shared" si="11"/>
        <v>0.58333333333333337</v>
      </c>
      <c r="W30" s="224">
        <f t="shared" si="11"/>
        <v>0.67741935483870963</v>
      </c>
      <c r="X30" s="224">
        <f t="shared" si="11"/>
        <v>0.39130434782608697</v>
      </c>
      <c r="Y30" s="224">
        <f t="shared" si="11"/>
        <v>0.54216867469879515</v>
      </c>
      <c r="Z30" s="224">
        <f t="shared" si="11"/>
        <v>0.44594594594594594</v>
      </c>
      <c r="AA30" s="224">
        <f t="shared" si="11"/>
        <v>0.30769230769230771</v>
      </c>
      <c r="AB30" s="225">
        <f>IF(AB28=0,0,(AB29/(AB28-AB18)))</f>
        <v>0.7513906718014548</v>
      </c>
    </row>
    <row r="31" spans="1:28" ht="15.6" thickTop="1" thickBot="1" x14ac:dyDescent="0.35">
      <c r="A31" s="226">
        <v>22</v>
      </c>
      <c r="B31" s="227" t="s">
        <v>35</v>
      </c>
      <c r="C31" s="228"/>
      <c r="D31" s="228"/>
      <c r="E31" s="229">
        <f>+E29/E5</f>
        <v>0.67948717948717952</v>
      </c>
      <c r="F31" s="230">
        <f>+F29/F5</f>
        <v>7.6923076923076927E-2</v>
      </c>
      <c r="G31" s="230">
        <f t="shared" ref="G31:AA31" si="12">+G29/G5</f>
        <v>0.77871148459383754</v>
      </c>
      <c r="H31" s="230">
        <f>+H29/H5</f>
        <v>0.5714285714285714</v>
      </c>
      <c r="I31" s="230">
        <f t="shared" si="12"/>
        <v>0.90322580645161288</v>
      </c>
      <c r="J31" s="230">
        <f t="shared" si="12"/>
        <v>0.55555555555555558</v>
      </c>
      <c r="K31" s="230">
        <f t="shared" si="12"/>
        <v>0.58064516129032262</v>
      </c>
      <c r="L31" s="230">
        <f t="shared" si="12"/>
        <v>0.6428571428571429</v>
      </c>
      <c r="M31" s="230">
        <f t="shared" si="12"/>
        <v>0.66666666666666663</v>
      </c>
      <c r="N31" s="230">
        <f t="shared" si="12"/>
        <v>0.60215053763440862</v>
      </c>
      <c r="O31" s="230">
        <f>+O29/O5</f>
        <v>0.22807017543859648</v>
      </c>
      <c r="P31" s="230">
        <f>+P29/P5</f>
        <v>0.8</v>
      </c>
      <c r="Q31" s="230">
        <f t="shared" si="12"/>
        <v>0.4</v>
      </c>
      <c r="R31" s="230">
        <f t="shared" si="12"/>
        <v>0.56451612903225812</v>
      </c>
      <c r="S31" s="230">
        <f t="shared" si="12"/>
        <v>0.31034482758620691</v>
      </c>
      <c r="T31" s="230">
        <f>+T29/T5</f>
        <v>0.90322580645161288</v>
      </c>
      <c r="U31" s="230">
        <f t="shared" si="12"/>
        <v>0.61290322580645162</v>
      </c>
      <c r="V31" s="230">
        <f t="shared" si="12"/>
        <v>0.5</v>
      </c>
      <c r="W31" s="230">
        <f t="shared" si="12"/>
        <v>0.67741935483870963</v>
      </c>
      <c r="X31" s="230">
        <f>+X29/X5</f>
        <v>0.39130434782608697</v>
      </c>
      <c r="Y31" s="230">
        <f t="shared" si="12"/>
        <v>0.54216867469879515</v>
      </c>
      <c r="Z31" s="230">
        <f t="shared" si="12"/>
        <v>0.43421052631578949</v>
      </c>
      <c r="AA31" s="230">
        <f t="shared" si="12"/>
        <v>0.30769230769230771</v>
      </c>
      <c r="AB31" s="231">
        <f>+AB29/AB5</f>
        <v>0.65718562874251496</v>
      </c>
    </row>
    <row r="32" spans="1:28" ht="15.6" thickTop="1" thickBot="1" x14ac:dyDescent="0.35">
      <c r="A32" s="232">
        <v>23</v>
      </c>
      <c r="B32" s="142" t="s">
        <v>36</v>
      </c>
      <c r="C32" s="233"/>
      <c r="D32" s="198" t="s">
        <v>27</v>
      </c>
      <c r="E32" s="234">
        <f>+E26/E25</f>
        <v>0</v>
      </c>
      <c r="F32" s="235">
        <f>+F26/F25</f>
        <v>28.75</v>
      </c>
      <c r="G32" s="235">
        <f t="shared" ref="G32:AA32" si="13">+G26/G25</f>
        <v>42.92622950819672</v>
      </c>
      <c r="H32" s="235">
        <f>+H26/H25</f>
        <v>16.071428571428573</v>
      </c>
      <c r="I32" s="235">
        <f t="shared" si="13"/>
        <v>46.333333333333336</v>
      </c>
      <c r="J32" s="235">
        <f t="shared" si="13"/>
        <v>41.714285714285715</v>
      </c>
      <c r="K32" s="235">
        <f t="shared" si="13"/>
        <v>44.384615384615387</v>
      </c>
      <c r="L32" s="235">
        <f t="shared" si="13"/>
        <v>69.84615384615384</v>
      </c>
      <c r="M32" s="235">
        <f t="shared" si="13"/>
        <v>44.262711864406782</v>
      </c>
      <c r="N32" s="235">
        <f t="shared" si="13"/>
        <v>58.111111111111114</v>
      </c>
      <c r="O32" s="235">
        <f>+O26/O25</f>
        <v>85.39473684210526</v>
      </c>
      <c r="P32" s="235">
        <f>+P26/P25</f>
        <v>26.2</v>
      </c>
      <c r="Q32" s="235">
        <f t="shared" si="13"/>
        <v>20</v>
      </c>
      <c r="R32" s="235">
        <f t="shared" si="13"/>
        <v>22.925925925925927</v>
      </c>
      <c r="S32" s="235">
        <f t="shared" si="13"/>
        <v>0</v>
      </c>
      <c r="T32" s="235">
        <f>+T26/T25</f>
        <v>0</v>
      </c>
      <c r="U32" s="235">
        <f t="shared" si="13"/>
        <v>40.705882352941174</v>
      </c>
      <c r="V32" s="235">
        <f t="shared" si="13"/>
        <v>22.047619047619047</v>
      </c>
      <c r="W32" s="235">
        <f t="shared" si="13"/>
        <v>35.083333333333336</v>
      </c>
      <c r="X32" s="235">
        <f>+X26/X25</f>
        <v>0</v>
      </c>
      <c r="Y32" s="235">
        <f t="shared" si="13"/>
        <v>0</v>
      </c>
      <c r="Z32" s="235">
        <f t="shared" si="13"/>
        <v>16.794117647058822</v>
      </c>
      <c r="AA32" s="235">
        <f t="shared" si="13"/>
        <v>48.888888888888886</v>
      </c>
      <c r="AB32" s="236">
        <f>+AB26/AB25</f>
        <v>37.625482625482626</v>
      </c>
    </row>
    <row r="33" spans="1:28" ht="15" thickTop="1" x14ac:dyDescent="0.3">
      <c r="A33" s="238" t="s">
        <v>37</v>
      </c>
      <c r="B33" s="238"/>
      <c r="C33" s="238"/>
      <c r="D33" s="238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</row>
    <row r="34" spans="1:28" ht="15" thickBot="1" x14ac:dyDescent="0.35">
      <c r="A34" s="242"/>
      <c r="B34" s="243"/>
      <c r="C34" s="243"/>
      <c r="D34" s="243"/>
      <c r="E34" s="244"/>
      <c r="F34" s="244"/>
      <c r="G34" s="245"/>
      <c r="H34" s="244"/>
      <c r="I34" s="246"/>
      <c r="J34" s="244"/>
      <c r="K34" s="244"/>
      <c r="L34" s="244"/>
      <c r="M34" s="246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3"/>
      <c r="Z34" s="243"/>
      <c r="AA34" s="243"/>
      <c r="AB34" s="243"/>
    </row>
    <row r="35" spans="1:28" ht="15.6" thickTop="1" thickBot="1" x14ac:dyDescent="0.35">
      <c r="A35" s="242"/>
      <c r="B35" s="243"/>
      <c r="C35" s="237" t="s">
        <v>38</v>
      </c>
      <c r="D35" s="243"/>
      <c r="E35" s="247">
        <v>13</v>
      </c>
      <c r="F35" s="248">
        <v>0</v>
      </c>
      <c r="G35" s="248">
        <v>35</v>
      </c>
      <c r="H35" s="248">
        <v>4</v>
      </c>
      <c r="I35" s="248">
        <v>0</v>
      </c>
      <c r="J35" s="248">
        <v>1</v>
      </c>
      <c r="K35" s="248">
        <v>0</v>
      </c>
      <c r="L35" s="248">
        <v>3</v>
      </c>
      <c r="M35" s="248">
        <v>8</v>
      </c>
      <c r="N35" s="248">
        <v>10</v>
      </c>
      <c r="O35" s="248">
        <v>6</v>
      </c>
      <c r="P35" s="248">
        <v>1</v>
      </c>
      <c r="Q35" s="248">
        <v>0</v>
      </c>
      <c r="R35" s="248">
        <v>0</v>
      </c>
      <c r="S35" s="248">
        <v>7</v>
      </c>
      <c r="T35" s="248">
        <v>0</v>
      </c>
      <c r="U35" s="248">
        <v>19</v>
      </c>
      <c r="V35" s="248">
        <v>2</v>
      </c>
      <c r="W35" s="248">
        <v>18</v>
      </c>
      <c r="X35" s="248">
        <v>4</v>
      </c>
      <c r="Y35" s="248">
        <v>1</v>
      </c>
      <c r="Z35" s="248">
        <v>9</v>
      </c>
      <c r="AA35" s="248">
        <v>0</v>
      </c>
      <c r="AB35" s="146">
        <f>SUM(E35:AA35)</f>
        <v>141</v>
      </c>
    </row>
    <row r="36" spans="1:28" ht="15.6" thickTop="1" thickBot="1" x14ac:dyDescent="0.35">
      <c r="A36" s="242"/>
      <c r="B36" s="243"/>
      <c r="C36" s="237" t="s">
        <v>39</v>
      </c>
      <c r="D36" s="243"/>
      <c r="E36" s="249">
        <v>37</v>
      </c>
      <c r="F36" s="250">
        <v>12</v>
      </c>
      <c r="G36" s="251">
        <v>122</v>
      </c>
      <c r="H36" s="251">
        <v>14</v>
      </c>
      <c r="I36" s="251">
        <v>3</v>
      </c>
      <c r="J36" s="251">
        <v>7</v>
      </c>
      <c r="K36" s="251">
        <v>13</v>
      </c>
      <c r="L36" s="251">
        <v>52</v>
      </c>
      <c r="M36" s="251">
        <v>236</v>
      </c>
      <c r="N36" s="251">
        <v>0</v>
      </c>
      <c r="O36" s="251">
        <v>38</v>
      </c>
      <c r="P36" s="251">
        <v>10</v>
      </c>
      <c r="Q36" s="251">
        <v>3</v>
      </c>
      <c r="R36" s="251">
        <v>27</v>
      </c>
      <c r="S36" s="251">
        <v>33</v>
      </c>
      <c r="T36" s="251">
        <v>3</v>
      </c>
      <c r="U36" s="251">
        <v>17</v>
      </c>
      <c r="V36" s="251">
        <v>16</v>
      </c>
      <c r="W36" s="251">
        <v>12</v>
      </c>
      <c r="X36" s="251">
        <v>10</v>
      </c>
      <c r="Y36" s="251">
        <v>37</v>
      </c>
      <c r="Z36" s="251">
        <v>34</v>
      </c>
      <c r="AA36" s="251">
        <v>9</v>
      </c>
      <c r="AB36" s="146">
        <f>SUM(E36:AA36)</f>
        <v>745</v>
      </c>
    </row>
    <row r="37" spans="1:28" ht="14.4" thickTop="1" x14ac:dyDescent="0.3"/>
  </sheetData>
  <mergeCells count="36">
    <mergeCell ref="B31:D31"/>
    <mergeCell ref="B32:C32"/>
    <mergeCell ref="A33:D33"/>
    <mergeCell ref="E33:AB33"/>
    <mergeCell ref="A25:A26"/>
    <mergeCell ref="C25:C26"/>
    <mergeCell ref="B27:D27"/>
    <mergeCell ref="B28:D28"/>
    <mergeCell ref="B29:D29"/>
    <mergeCell ref="B30:D30"/>
    <mergeCell ref="A16:A17"/>
    <mergeCell ref="B16:B26"/>
    <mergeCell ref="C16:C17"/>
    <mergeCell ref="A18:A19"/>
    <mergeCell ref="C18:C19"/>
    <mergeCell ref="A20:A21"/>
    <mergeCell ref="C20:C21"/>
    <mergeCell ref="A22:A23"/>
    <mergeCell ref="C22:C23"/>
    <mergeCell ref="C24:D24"/>
    <mergeCell ref="B7:D7"/>
    <mergeCell ref="B8:B15"/>
    <mergeCell ref="C8:D8"/>
    <mergeCell ref="C9:D9"/>
    <mergeCell ref="C10:D10"/>
    <mergeCell ref="C11:D11"/>
    <mergeCell ref="C12:D12"/>
    <mergeCell ref="C13:D13"/>
    <mergeCell ref="C14:D14"/>
    <mergeCell ref="C15:D15"/>
    <mergeCell ref="A1:C1"/>
    <mergeCell ref="A2:C2"/>
    <mergeCell ref="A3:C3"/>
    <mergeCell ref="B4:D4"/>
    <mergeCell ref="B5:D5"/>
    <mergeCell ref="B6:D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EB7FDF5804F542B5E44900C096FF16" ma:contentTypeVersion="5" ma:contentTypeDescription="Crear nuevo documento." ma:contentTypeScope="" ma:versionID="9a247fb380c16a74dd885dbb75fbe0f1">
  <xsd:schema xmlns:xsd="http://www.w3.org/2001/XMLSchema" xmlns:xs="http://www.w3.org/2001/XMLSchema" xmlns:p="http://schemas.microsoft.com/office/2006/metadata/properties" xmlns:ns1="http://schemas.microsoft.com/sharepoint/v3" xmlns:ns2="b150946a-e91e-41f5-8b47-a9dbc3d237ee" xmlns:ns3="1023f0b0-6425-4236-8cbc-a0fcd304b895" targetNamespace="http://schemas.microsoft.com/office/2006/metadata/properties" ma:root="true" ma:fieldsID="15afc4063d1c3488b8c2fc66a4f5199d" ns1:_="" ns2:_="" ns3:_="">
    <xsd:import namespace="http://schemas.microsoft.com/sharepoint/v3"/>
    <xsd:import namespace="b150946a-e91e-41f5-8b47-a9dbc3d237ee"/>
    <xsd:import namespace="1023f0b0-6425-4236-8cbc-a0fcd304b8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Secci_x00f3_n" minOccurs="0"/>
                <xsd:element ref="ns3:Clase" minOccurs="0"/>
                <xsd:element ref="ns3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0946a-e91e-41f5-8b47-a9dbc3d237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3f0b0-6425-4236-8cbc-a0fcd304b895" elementFormDefault="qualified">
    <xsd:import namespace="http://schemas.microsoft.com/office/2006/documentManagement/types"/>
    <xsd:import namespace="http://schemas.microsoft.com/office/infopath/2007/PartnerControls"/>
    <xsd:element name="Secci_x00f3_n" ma:index="13" nillable="true" ma:displayName="Sección" ma:default="Estadísticas Operacionales" ma:format="Dropdown" ma:internalName="Secci_x00f3_n">
      <xsd:simpleType>
        <xsd:restriction base="dms:Choice">
          <xsd:enumeration value="Estadísticas Operacionales"/>
          <xsd:enumeration value="Estadísticas Financieras"/>
          <xsd:enumeration value="Calidad del Servicio"/>
          <xsd:enumeration value="Indicadores Económicos"/>
          <xsd:enumeration value="Designadores"/>
          <xsd:enumeration value="Actividades conexas"/>
        </xsd:restriction>
      </xsd:simpleType>
    </xsd:element>
    <xsd:element name="Clase" ma:index="14" nillable="true" ma:displayName="Clase" ma:format="Dropdown" ma:internalName="Clase">
      <xsd:simpleType>
        <xsd:restriction base="dms:Choice">
          <xsd:enumeration value="BOLETINES MENSUALES"/>
          <xsd:enumeration value="Operación No Regular y Actividades Conexas"/>
          <xsd:enumeration value="SERIES HISTÓRICAS ANUALES"/>
          <xsd:enumeration value="SERIES HISTÓRICAS MENSUALES"/>
          <xsd:enumeration value="ESTADÍSTICAS FINANCIERAS"/>
          <xsd:enumeration value="HISTORICO INFORMES FINANCIEROS"/>
          <xsd:enumeration value="COSTO HORA DE OPERACION POR AERONAVE"/>
          <xsd:enumeration value="CALIDAD 2011"/>
          <xsd:enumeration value="CALIDAD 2010"/>
          <xsd:enumeration value="CALIDAD 2009"/>
          <xsd:enumeration value="CALIDAD 2008"/>
          <xsd:enumeration value="CALIDAD 2007"/>
          <xsd:enumeration value="CALIDAD 2006"/>
          <xsd:enumeration value="INDICADORES DEL SECTOR AERONÁUTICO"/>
          <xsd:enumeration value="AÑO 2009"/>
          <xsd:enumeration value="AÑO 2008"/>
          <xsd:enumeration value="AÑO 2007"/>
          <xsd:enumeration value="TRAFICO HELICOPTEROS 2011"/>
          <xsd:enumeration value="ACTIVIDADES CONEXAS 2010"/>
        </xsd:restriction>
      </xsd:simpleType>
    </xsd:element>
    <xsd:element name="Orden" ma:index="15" nillable="true" ma:displayName="Orden" ma:format="Dropdown" ma:internalName="Orden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43BC6C890E0245954F6B1068B7FB63" ma:contentTypeVersion="3" ma:contentTypeDescription="Crear nuevo documento." ma:contentTypeScope="" ma:versionID="cab941008344a26ab7cce7c57916241f">
  <xsd:schema xmlns:xsd="http://www.w3.org/2001/XMLSchema" xmlns:xs="http://www.w3.org/2001/XMLSchema" xmlns:p="http://schemas.microsoft.com/office/2006/metadata/properties" xmlns:ns2="43d1290f-aa3e-4890-b692-6cb93b4e711c" targetNamespace="http://schemas.microsoft.com/office/2006/metadata/properties" ma:root="true" ma:fieldsID="3c07415e22e1e6f4b98c484348bbd29e" ns2:_="">
    <xsd:import namespace="43d1290f-aa3e-4890-b692-6cb93b4e711c"/>
    <xsd:element name="properties">
      <xsd:complexType>
        <xsd:sequence>
          <xsd:element name="documentManagement">
            <xsd:complexType>
              <xsd:all>
                <xsd:element ref="ns2:Orden" minOccurs="0"/>
                <xsd:element ref="ns2:Filtro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1290f-aa3e-4890-b692-6cb93b4e711c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43d1290f-aa3e-4890-b692-6cb93b4e711c">02</Orden>
    <Formato xmlns="43d1290f-aa3e-4890-b692-6cb93b4e711c">/Style%20Library/Images/xls.svg</Formato>
    <Filtro xmlns="43d1290f-aa3e-4890-b692-6cb93b4e711c">CALIDAD 2011</Filtro>
  </documentManagement>
</p:properties>
</file>

<file path=customXml/itemProps1.xml><?xml version="1.0" encoding="utf-8"?>
<ds:datastoreItem xmlns:ds="http://schemas.openxmlformats.org/officeDocument/2006/customXml" ds:itemID="{5F65A233-3D93-435D-BC34-B4227909F97B}"/>
</file>

<file path=customXml/itemProps2.xml><?xml version="1.0" encoding="utf-8"?>
<ds:datastoreItem xmlns:ds="http://schemas.openxmlformats.org/officeDocument/2006/customXml" ds:itemID="{3833C952-2C03-4483-BA2C-12A59183A131}"/>
</file>

<file path=customXml/itemProps3.xml><?xml version="1.0" encoding="utf-8"?>
<ds:datastoreItem xmlns:ds="http://schemas.openxmlformats.org/officeDocument/2006/customXml" ds:itemID="{9A592563-3231-4AB0-A349-3EA51739E1D5}"/>
</file>

<file path=customXml/itemProps4.xml><?xml version="1.0" encoding="utf-8"?>
<ds:datastoreItem xmlns:ds="http://schemas.openxmlformats.org/officeDocument/2006/customXml" ds:itemID="{7BA831F0-FA36-4EE8-AF79-7B1718FE0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NACIONAL DIC</vt:lpstr>
      <vt:lpstr>INTERNACIONAL DIC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Diciembre</dc:title>
  <dc:creator>52198244</dc:creator>
  <cp:lastModifiedBy>52198244</cp:lastModifiedBy>
  <dcterms:created xsi:type="dcterms:W3CDTF">2012-02-13T17:29:46Z</dcterms:created>
  <dcterms:modified xsi:type="dcterms:W3CDTF">2012-02-13T17:32:12Z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77654537-26da-4698-9cab-140f1e3da6aa</vt:lpwstr>
  </property>
  <property fmtid="{D5CDD505-2E9C-101B-9397-08002B2CF9AE}" pid="3" name="ContentTypeId">
    <vt:lpwstr>0x010100CD43BC6C890E0245954F6B1068B7FB63</vt:lpwstr>
  </property>
</Properties>
</file>